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Общая\ОТЧЕТ ФУ за неделю\2026\09\11\"/>
    </mc:Choice>
  </mc:AlternateContent>
  <bookViews>
    <workbookView xWindow="-120" yWindow="-120" windowWidth="19440" windowHeight="15000"/>
  </bookViews>
  <sheets>
    <sheet name="Доходы" sheetId="5" r:id="rId1"/>
  </sheets>
  <definedNames>
    <definedName name="_xlnm._FilterDatabase" localSheetId="0" hidden="1">Доходы!$A$6:$IA$6</definedName>
    <definedName name="Z_03D5E49F_24F7_44F7_8210_D85778C981A4_.wvu.FilterData" localSheetId="0" hidden="1">Доходы!$A$6:$AF$61</definedName>
    <definedName name="Z_117A7AA9_056F_4018_98AD_EAECFC43F1B3_.wvu.Cols" localSheetId="0" hidden="1">Доходы!$B:$H,Доходы!$J:$K,Доходы!$M:$M,Доходы!$P:$P,Доходы!$U:$U,Доходы!#REF!,Доходы!#REF!,Доходы!$AD:$AD</definedName>
    <definedName name="Z_117A7AA9_056F_4018_98AD_EAECFC43F1B3_.wvu.FilterData" localSheetId="0" hidden="1">Доходы!$A$6:$AF$61</definedName>
    <definedName name="Z_117A7AA9_056F_4018_98AD_EAECFC43F1B3_.wvu.PrintArea" localSheetId="0" hidden="1">Доходы!$A$1:$AC$67</definedName>
    <definedName name="Z_117A7AA9_056F_4018_98AD_EAECFC43F1B3_.wvu.PrintTitles" localSheetId="0" hidden="1">Доходы!$4:$6</definedName>
    <definedName name="Z_117A7AA9_056F_4018_98AD_EAECFC43F1B3_.wvu.Rows" localSheetId="0" hidden="1">Доходы!$69:$70</definedName>
    <definedName name="Z_4CBCD9D8_B3F5_4722_8CE7_38B89561B806_.wvu.Cols" localSheetId="0" hidden="1">Доходы!$B:$H,Доходы!#REF!,Доходы!$U:$U,Доходы!#REF!,Доходы!$AD:$AD</definedName>
    <definedName name="Z_4CBCD9D8_B3F5_4722_8CE7_38B89561B806_.wvu.PrintArea" localSheetId="0" hidden="1">Доходы!$A$1:$AD$67</definedName>
    <definedName name="Z_4CBCD9D8_B3F5_4722_8CE7_38B89561B806_.wvu.PrintTitles" localSheetId="0" hidden="1">Доходы!$4:$6</definedName>
    <definedName name="Z_4CBCD9D8_B3F5_4722_8CE7_38B89561B806_.wvu.Rows" localSheetId="0" hidden="1">Доходы!$69:$70</definedName>
    <definedName name="Z_583FA723_9D22_4D8A_87C2_40F053D3EC03_.wvu.FilterData" localSheetId="0" hidden="1">Доходы!$A$6:$AF$61</definedName>
    <definedName name="Z_65E97C0E_073B_49BA_9AB4_D888408B0A75_.wvu.FilterData" localSheetId="0" hidden="1">Доходы!$A$6:$AF$61</definedName>
    <definedName name="Z_71A44519_BDEF_434C_95CC_A4A24B3AF9C3_.wvu.FilterData" localSheetId="0" hidden="1">Доходы!$A$6:$AF$61</definedName>
    <definedName name="Z_7DC50C37_F81E_464D_BE66_31375C660B0F_.wvu.Cols" localSheetId="0" hidden="1">Доходы!$B:$H,Доходы!#REF!,Доходы!#REF!,Доходы!#REF!,Доходы!$U:$U,Доходы!#REF!,Доходы!$AD:$AD</definedName>
    <definedName name="Z_7DC50C37_F81E_464D_BE66_31375C660B0F_.wvu.PrintArea" localSheetId="0" hidden="1">Доходы!$A$1:$AD$67</definedName>
    <definedName name="Z_7DC50C37_F81E_464D_BE66_31375C660B0F_.wvu.PrintTitles" localSheetId="0" hidden="1">Доходы!$4:$6</definedName>
    <definedName name="Z_7DC50C37_F81E_464D_BE66_31375C660B0F_.wvu.Rows" localSheetId="0" hidden="1">Доходы!$69:$70</definedName>
    <definedName name="Z_EFA3296C_EA11_4228_A03B_6841E5AF5251_.wvu.Cols" localSheetId="0" hidden="1">Доходы!$B:$H,Доходы!$J:$K,Доходы!$M:$M,Доходы!$P:$P,Доходы!#REF!,Доходы!#REF!,Доходы!$AD:$AD</definedName>
    <definedName name="Z_EFA3296C_EA11_4228_A03B_6841E5AF5251_.wvu.FilterData" localSheetId="0" hidden="1">Доходы!$A$6:$AF$61</definedName>
    <definedName name="Z_EFA3296C_EA11_4228_A03B_6841E5AF5251_.wvu.PrintArea" localSheetId="0" hidden="1">Доходы!$A$1:$AC$67</definedName>
    <definedName name="Z_EFA3296C_EA11_4228_A03B_6841E5AF5251_.wvu.PrintTitles" localSheetId="0" hidden="1">Доходы!$4:$6</definedName>
    <definedName name="Z_EFA3296C_EA11_4228_A03B_6841E5AF5251_.wvu.Rows" localSheetId="0" hidden="1">Доходы!$69:$70</definedName>
    <definedName name="_xlnm.Print_Titles" localSheetId="0">Доходы!$4:$6</definedName>
    <definedName name="_xlnm.Print_Area" localSheetId="0">Доходы!$B$1:$AC$66</definedName>
  </definedNames>
  <calcPr calcId="191029"/>
  <customWorkbookViews>
    <customWorkbookView name="Пользователь - Личное представление" guid="{117A7AA9-056F-4018-98AD-EAECFC43F1B3}" mergeInterval="0" personalView="1" maximized="1" xWindow="-8" yWindow="-8" windowWidth="1296" windowHeight="1000" activeSheetId="1"/>
    <customWorkbookView name="BLGANV - Личное представление" guid="{7DC50C37-F81E-464D-BE66-31375C660B0F}" mergeInterval="0" personalView="1" maximized="1" xWindow="-8" yWindow="-8" windowWidth="1296" windowHeight="1000" activeSheetId="1"/>
    <customWorkbookView name="BLTOIV1 - Личное представление" guid="{4CBCD9D8-B3F5-4722-8CE7-38B89561B806}" mergeInterval="0" personalView="1" maximized="1" xWindow="-8" yWindow="-8" windowWidth="1296" windowHeight="1000" activeSheetId="1"/>
    <customWorkbookView name="BLPUSP2 - Личное представление" guid="{EFA3296C-EA11-4228-A03B-6841E5AF5251}" mergeInterval="0" personalView="1" maximized="1" xWindow="-8" yWindow="-8" windowWidth="1296" windowHeight="100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7" i="5" l="1"/>
  <c r="T50" i="5"/>
  <c r="T41" i="5"/>
  <c r="T49" i="5"/>
  <c r="T38" i="5"/>
  <c r="T37" i="5"/>
  <c r="T26" i="5"/>
  <c r="T21" i="5"/>
  <c r="T20" i="5"/>
  <c r="T19" i="5"/>
  <c r="T17" i="5"/>
  <c r="T16" i="5"/>
  <c r="T13" i="5"/>
  <c r="T11" i="5"/>
  <c r="T10" i="5"/>
  <c r="T57" i="5"/>
  <c r="T47" i="5"/>
  <c r="T46" i="5"/>
  <c r="T32" i="5"/>
  <c r="T31" i="5"/>
  <c r="T29" i="5"/>
  <c r="T27" i="5"/>
  <c r="T15" i="5"/>
  <c r="T14" i="5"/>
  <c r="S52" i="5"/>
  <c r="S48" i="5"/>
  <c r="S43" i="5"/>
  <c r="S36" i="5"/>
  <c r="S35" i="5" s="1"/>
  <c r="S30" i="5"/>
  <c r="S24" i="5" s="1"/>
  <c r="S23" i="5" s="1"/>
  <c r="S28" i="5"/>
  <c r="S26" i="5"/>
  <c r="S25" i="5"/>
  <c r="S18" i="5"/>
  <c r="S9" i="5"/>
  <c r="R29" i="5"/>
  <c r="R27" i="5"/>
  <c r="Q52" i="5"/>
  <c r="Q48" i="5"/>
  <c r="Q43" i="5"/>
  <c r="Q36" i="5"/>
  <c r="Q35" i="5" s="1"/>
  <c r="Q30" i="5"/>
  <c r="Q29" i="5"/>
  <c r="Q28" i="5" s="1"/>
  <c r="Q27" i="5"/>
  <c r="Q25" i="5"/>
  <c r="Q18" i="5"/>
  <c r="S7" i="5" l="1"/>
  <c r="S8" i="5" s="1"/>
  <c r="Q24" i="5"/>
  <c r="Q23" i="5" s="1"/>
  <c r="V10" i="5" l="1"/>
  <c r="S61" i="5" l="1"/>
  <c r="Q9" i="5"/>
  <c r="Q7" i="5" l="1"/>
  <c r="Q8" i="5" s="1"/>
  <c r="T28" i="5" l="1"/>
  <c r="T18" i="5"/>
  <c r="T9" i="5" s="1"/>
  <c r="O10" i="5" l="1"/>
  <c r="W12" i="5" l="1"/>
  <c r="V12" i="5"/>
  <c r="O13" i="5"/>
  <c r="O47" i="5"/>
  <c r="K52" i="5"/>
  <c r="K48" i="5"/>
  <c r="K43" i="5"/>
  <c r="K36" i="5"/>
  <c r="K35" i="5" s="1"/>
  <c r="K30" i="5"/>
  <c r="K28" i="5"/>
  <c r="K25" i="5"/>
  <c r="K18" i="5"/>
  <c r="K9" i="5"/>
  <c r="P29" i="5"/>
  <c r="P27" i="5"/>
  <c r="L12" i="5"/>
  <c r="N12" i="5"/>
  <c r="O12" i="5"/>
  <c r="P30" i="5"/>
  <c r="Y12" i="5" l="1"/>
  <c r="AA12" i="5"/>
  <c r="X12" i="5"/>
  <c r="Z12" i="5"/>
  <c r="AB12" i="5"/>
  <c r="K24" i="5"/>
  <c r="K23" i="5" s="1"/>
  <c r="K7" i="5" s="1"/>
  <c r="K8" i="5" s="1"/>
  <c r="T30" i="5" l="1"/>
  <c r="R30" i="5"/>
  <c r="M30" i="5"/>
  <c r="J30" i="5"/>
  <c r="L10" i="5"/>
  <c r="J52" i="5" l="1"/>
  <c r="J48" i="5"/>
  <c r="J43" i="5"/>
  <c r="J39" i="5"/>
  <c r="J36" i="5" s="1"/>
  <c r="J35" i="5" s="1"/>
  <c r="J29" i="5"/>
  <c r="J28" i="5" s="1"/>
  <c r="J27" i="5"/>
  <c r="J25" i="5" s="1"/>
  <c r="J24" i="5" s="1"/>
  <c r="J19" i="5"/>
  <c r="J18" i="5" s="1"/>
  <c r="J9" i="5" s="1"/>
  <c r="J23" i="5" l="1"/>
  <c r="J7" i="5" s="1"/>
  <c r="J8" i="5" s="1"/>
  <c r="M52" i="5"/>
  <c r="M48" i="5"/>
  <c r="M43" i="5"/>
  <c r="M36" i="5"/>
  <c r="M35" i="5" s="1"/>
  <c r="M28" i="5"/>
  <c r="M25" i="5"/>
  <c r="M18" i="5"/>
  <c r="M9" i="5" s="1"/>
  <c r="R52" i="5"/>
  <c r="R48" i="5"/>
  <c r="R43" i="5"/>
  <c r="R39" i="5"/>
  <c r="R36" i="5" s="1"/>
  <c r="R35" i="5" s="1"/>
  <c r="R28" i="5"/>
  <c r="R25" i="5"/>
  <c r="R18" i="5"/>
  <c r="R9" i="5" s="1"/>
  <c r="R24" i="5" l="1"/>
  <c r="R23" i="5" s="1"/>
  <c r="M24" i="5"/>
  <c r="M23" i="5" s="1"/>
  <c r="M7" i="5" s="1"/>
  <c r="M8" i="5" s="1"/>
  <c r="N8" i="5" s="1"/>
  <c r="R7" i="5" l="1"/>
  <c r="R8" i="5" s="1"/>
  <c r="AD51" i="5" l="1"/>
  <c r="AD40" i="5"/>
  <c r="AD41" i="5"/>
  <c r="AD38" i="5"/>
  <c r="AD37" i="5"/>
  <c r="AD31" i="5"/>
  <c r="AD27" i="5"/>
  <c r="AD20" i="5"/>
  <c r="AD17" i="5"/>
  <c r="AD13" i="5"/>
  <c r="AD10" i="5"/>
  <c r="AD54" i="5"/>
  <c r="AD55" i="5"/>
  <c r="AD56" i="5"/>
  <c r="AD53" i="5"/>
  <c r="N10" i="5" l="1"/>
  <c r="N11" i="5"/>
  <c r="N13" i="5"/>
  <c r="N14" i="5"/>
  <c r="N15" i="5"/>
  <c r="N16" i="5"/>
  <c r="N17" i="5"/>
  <c r="N19" i="5"/>
  <c r="N20" i="5"/>
  <c r="N21" i="5"/>
  <c r="N22" i="5"/>
  <c r="N26" i="5"/>
  <c r="N31" i="5"/>
  <c r="N32" i="5"/>
  <c r="N33" i="5"/>
  <c r="N34" i="5"/>
  <c r="N37" i="5"/>
  <c r="N38" i="5"/>
  <c r="N39" i="5"/>
  <c r="N40" i="5"/>
  <c r="N41" i="5"/>
  <c r="N42" i="5"/>
  <c r="N44" i="5"/>
  <c r="N45" i="5"/>
  <c r="N46" i="5"/>
  <c r="N47" i="5"/>
  <c r="N49" i="5"/>
  <c r="N50" i="5"/>
  <c r="N51" i="5"/>
  <c r="N53" i="5"/>
  <c r="N54" i="5"/>
  <c r="N55" i="5"/>
  <c r="N56" i="5"/>
  <c r="N57" i="5"/>
  <c r="N58" i="5"/>
  <c r="N59" i="5"/>
  <c r="N60" i="5"/>
  <c r="N30" i="5" l="1"/>
  <c r="AD39" i="5" l="1"/>
  <c r="AD36" i="5" s="1"/>
  <c r="V47" i="5" l="1"/>
  <c r="V39" i="5" l="1"/>
  <c r="O39" i="5" s="1"/>
  <c r="V37" i="5"/>
  <c r="Y37" i="5" s="1"/>
  <c r="M61" i="5" l="1"/>
  <c r="M66" i="5" s="1"/>
  <c r="L13" i="5" l="1"/>
  <c r="N52" i="5"/>
  <c r="N48" i="5"/>
  <c r="N43" i="5"/>
  <c r="N18" i="5" l="1"/>
  <c r="N25" i="5"/>
  <c r="N27" i="5"/>
  <c r="N35" i="5"/>
  <c r="N36" i="5"/>
  <c r="N28" i="5"/>
  <c r="N29" i="5"/>
  <c r="N9" i="5" l="1"/>
  <c r="K3" i="5"/>
  <c r="N24" i="5" l="1"/>
  <c r="N23" i="5" l="1"/>
  <c r="AC10" i="5"/>
  <c r="V11" i="5"/>
  <c r="V13" i="5"/>
  <c r="AC13" i="5" s="1"/>
  <c r="V14" i="5"/>
  <c r="O14" i="5" s="1"/>
  <c r="V15" i="5"/>
  <c r="V16" i="5"/>
  <c r="V17" i="5"/>
  <c r="V19" i="5"/>
  <c r="V20" i="5"/>
  <c r="V21" i="5"/>
  <c r="AC14" i="5" l="1"/>
  <c r="O11" i="5"/>
  <c r="AD19" i="5"/>
  <c r="N7" i="5"/>
  <c r="Y15" i="5"/>
  <c r="L39" i="5"/>
  <c r="L40" i="5"/>
  <c r="L27" i="5"/>
  <c r="L26" i="5"/>
  <c r="AD26" i="5" s="1"/>
  <c r="AD25" i="5" s="1"/>
  <c r="P52" i="5" l="1"/>
  <c r="P48" i="5"/>
  <c r="P43" i="5"/>
  <c r="P36" i="5"/>
  <c r="P35" i="5" s="1"/>
  <c r="P28" i="5"/>
  <c r="P25" i="5"/>
  <c r="P18" i="5"/>
  <c r="P9" i="5" s="1"/>
  <c r="P24" i="5" l="1"/>
  <c r="P23" i="5" s="1"/>
  <c r="P7" i="5" s="1"/>
  <c r="P8" i="5" s="1"/>
  <c r="U61" i="5" l="1"/>
  <c r="T48" i="5" l="1"/>
  <c r="W11" i="5"/>
  <c r="O55" i="5"/>
  <c r="O46" i="5"/>
  <c r="O38" i="5"/>
  <c r="O32" i="5"/>
  <c r="O17" i="5"/>
  <c r="R67" i="5"/>
  <c r="W60" i="5"/>
  <c r="V60" i="5"/>
  <c r="O60" i="5"/>
  <c r="L60" i="5"/>
  <c r="W59" i="5"/>
  <c r="V59" i="5"/>
  <c r="O59" i="5"/>
  <c r="L59" i="5"/>
  <c r="W58" i="5"/>
  <c r="V58" i="5"/>
  <c r="O58" i="5"/>
  <c r="W57" i="5"/>
  <c r="V57" i="5"/>
  <c r="O57" i="5"/>
  <c r="L57" i="5"/>
  <c r="W56" i="5"/>
  <c r="V56" i="5"/>
  <c r="O56" i="5"/>
  <c r="L56" i="5"/>
  <c r="W55" i="5"/>
  <c r="V55" i="5"/>
  <c r="L55" i="5"/>
  <c r="W54" i="5"/>
  <c r="V54" i="5"/>
  <c r="O54" i="5"/>
  <c r="L54" i="5"/>
  <c r="W53" i="5"/>
  <c r="V53" i="5"/>
  <c r="O53" i="5"/>
  <c r="L53" i="5"/>
  <c r="T52" i="5"/>
  <c r="W51" i="5"/>
  <c r="V51" i="5"/>
  <c r="AA51" i="5" s="1"/>
  <c r="O51" i="5"/>
  <c r="L51" i="5"/>
  <c r="W50" i="5"/>
  <c r="V50" i="5"/>
  <c r="AD50" i="5" s="1"/>
  <c r="O50" i="5"/>
  <c r="L50" i="5"/>
  <c r="W49" i="5"/>
  <c r="V49" i="5"/>
  <c r="O49" i="5"/>
  <c r="L49" i="5"/>
  <c r="W47" i="5"/>
  <c r="AA47" i="5"/>
  <c r="L47" i="5"/>
  <c r="W46" i="5"/>
  <c r="V46" i="5"/>
  <c r="L46" i="5"/>
  <c r="W45" i="5"/>
  <c r="V45" i="5"/>
  <c r="AA45" i="5" s="1"/>
  <c r="O45" i="5"/>
  <c r="L45" i="5"/>
  <c r="W44" i="5"/>
  <c r="V44" i="5"/>
  <c r="O44" i="5"/>
  <c r="L44" i="5"/>
  <c r="T43" i="5"/>
  <c r="W42" i="5"/>
  <c r="V42" i="5"/>
  <c r="O42" i="5"/>
  <c r="L42" i="5"/>
  <c r="W41" i="5"/>
  <c r="V41" i="5"/>
  <c r="O41" i="5"/>
  <c r="L41" i="5"/>
  <c r="W40" i="5"/>
  <c r="V40" i="5"/>
  <c r="AA40" i="5" s="1"/>
  <c r="O40" i="5"/>
  <c r="W39" i="5"/>
  <c r="W38" i="5"/>
  <c r="V38" i="5"/>
  <c r="Y38" i="5" s="1"/>
  <c r="L38" i="5"/>
  <c r="W37" i="5"/>
  <c r="L37" i="5"/>
  <c r="T36" i="5"/>
  <c r="T35" i="5" s="1"/>
  <c r="W34" i="5"/>
  <c r="V34" i="5"/>
  <c r="O34" i="5" s="1"/>
  <c r="M67" i="5" s="1"/>
  <c r="L34" i="5"/>
  <c r="W33" i="5"/>
  <c r="V33" i="5"/>
  <c r="AA33" i="5" s="1"/>
  <c r="O33" i="5"/>
  <c r="L33" i="5"/>
  <c r="W32" i="5"/>
  <c r="V32" i="5"/>
  <c r="AD32" i="5" s="1"/>
  <c r="L32" i="5"/>
  <c r="W31" i="5"/>
  <c r="V31" i="5"/>
  <c r="O31" i="5"/>
  <c r="L31" i="5"/>
  <c r="W29" i="5"/>
  <c r="V29" i="5"/>
  <c r="O29" i="5"/>
  <c r="O28" i="5" s="1"/>
  <c r="L29" i="5"/>
  <c r="L28" i="5" s="1"/>
  <c r="W27" i="5"/>
  <c r="V27" i="5"/>
  <c r="AA27" i="5" s="1"/>
  <c r="O27" i="5"/>
  <c r="W26" i="5"/>
  <c r="V26" i="5"/>
  <c r="O26" i="5"/>
  <c r="T25" i="5"/>
  <c r="L25" i="5"/>
  <c r="V22" i="5"/>
  <c r="X22" i="5" s="1"/>
  <c r="O22" i="5"/>
  <c r="L22" i="5"/>
  <c r="W21" i="5"/>
  <c r="Z21" i="5"/>
  <c r="O21" i="5"/>
  <c r="L21" i="5"/>
  <c r="W20" i="5"/>
  <c r="O20" i="5"/>
  <c r="AC20" i="5" s="1"/>
  <c r="L20" i="5"/>
  <c r="W19" i="5"/>
  <c r="Y19" i="5"/>
  <c r="L19" i="5"/>
  <c r="W18" i="5"/>
  <c r="W17" i="5"/>
  <c r="Z17" i="5"/>
  <c r="L17" i="5"/>
  <c r="W16" i="5"/>
  <c r="Z16" i="5"/>
  <c r="O16" i="5"/>
  <c r="L16" i="5"/>
  <c r="W15" i="5"/>
  <c r="AD15" i="5"/>
  <c r="O15" i="5"/>
  <c r="AC15" i="5" s="1"/>
  <c r="L15" i="5"/>
  <c r="W14" i="5"/>
  <c r="L14" i="5"/>
  <c r="AC11" i="5"/>
  <c r="L11" i="5"/>
  <c r="W10" i="5"/>
  <c r="AC56" i="5" l="1"/>
  <c r="AC42" i="5"/>
  <c r="AC54" i="5"/>
  <c r="AC53" i="5"/>
  <c r="AC49" i="5"/>
  <c r="AC33" i="5"/>
  <c r="AC60" i="5"/>
  <c r="AC51" i="5"/>
  <c r="T24" i="5"/>
  <c r="W24" i="5" s="1"/>
  <c r="AC50" i="5"/>
  <c r="AB27" i="5"/>
  <c r="L30" i="5"/>
  <c r="L24" i="5" s="1"/>
  <c r="O30" i="5"/>
  <c r="Z31" i="5"/>
  <c r="V30" i="5"/>
  <c r="AD34" i="5"/>
  <c r="AA54" i="5"/>
  <c r="AD59" i="5"/>
  <c r="Z55" i="5"/>
  <c r="AD44" i="5"/>
  <c r="Z53" i="5"/>
  <c r="AD33" i="5"/>
  <c r="AA29" i="5"/>
  <c r="AD29" i="5"/>
  <c r="AD28" i="5" s="1"/>
  <c r="Y40" i="5"/>
  <c r="AC57" i="5"/>
  <c r="L43" i="5"/>
  <c r="AC41" i="5"/>
  <c r="W43" i="5"/>
  <c r="AC40" i="5"/>
  <c r="X40" i="5"/>
  <c r="AA32" i="5"/>
  <c r="AC32" i="5"/>
  <c r="X27" i="5"/>
  <c r="AC45" i="5"/>
  <c r="Z51" i="5"/>
  <c r="AC31" i="5"/>
  <c r="AC38" i="5"/>
  <c r="AC47" i="5"/>
  <c r="AC27" i="5"/>
  <c r="AC46" i="5"/>
  <c r="AC55" i="5"/>
  <c r="X33" i="5"/>
  <c r="L52" i="5"/>
  <c r="L18" i="5"/>
  <c r="L9" i="5" s="1"/>
  <c r="L48" i="5"/>
  <c r="L36" i="5"/>
  <c r="L35" i="5" s="1"/>
  <c r="Z50" i="5"/>
  <c r="AB58" i="5"/>
  <c r="AB59" i="5"/>
  <c r="AB39" i="5"/>
  <c r="AB56" i="5"/>
  <c r="O43" i="5"/>
  <c r="X14" i="5"/>
  <c r="V28" i="5"/>
  <c r="Y45" i="5"/>
  <c r="AB57" i="5"/>
  <c r="Z14" i="5"/>
  <c r="AB33" i="5"/>
  <c r="X39" i="5"/>
  <c r="Y33" i="5"/>
  <c r="Z57" i="5"/>
  <c r="AD14" i="5"/>
  <c r="Z44" i="5"/>
  <c r="AA38" i="5"/>
  <c r="AA56" i="5"/>
  <c r="X56" i="5"/>
  <c r="AA53" i="5"/>
  <c r="X53" i="5"/>
  <c r="W48" i="5"/>
  <c r="Z45" i="5"/>
  <c r="AD45" i="5"/>
  <c r="Y31" i="5"/>
  <c r="V25" i="5"/>
  <c r="X26" i="5"/>
  <c r="X19" i="5"/>
  <c r="AB50" i="5"/>
  <c r="AB34" i="5"/>
  <c r="O19" i="5"/>
  <c r="AC19" i="5" s="1"/>
  <c r="AB14" i="5"/>
  <c r="AB11" i="5"/>
  <c r="Y54" i="5"/>
  <c r="W9" i="5"/>
  <c r="W13" i="5"/>
  <c r="Y53" i="5"/>
  <c r="X51" i="5"/>
  <c r="Y51" i="5"/>
  <c r="AB51" i="5"/>
  <c r="AD48" i="5"/>
  <c r="AB47" i="5"/>
  <c r="Z42" i="5"/>
  <c r="AB42" i="5"/>
  <c r="AD42" i="5"/>
  <c r="AD35" i="5" s="1"/>
  <c r="X42" i="5"/>
  <c r="W36" i="5"/>
  <c r="X38" i="5"/>
  <c r="X37" i="5"/>
  <c r="Z37" i="5"/>
  <c r="AA37" i="5"/>
  <c r="AB32" i="5"/>
  <c r="Y32" i="5"/>
  <c r="Z32" i="5"/>
  <c r="X32" i="5"/>
  <c r="W30" i="5"/>
  <c r="AA31" i="5"/>
  <c r="W28" i="5"/>
  <c r="W25" i="5"/>
  <c r="Y27" i="5"/>
  <c r="Y26" i="5"/>
  <c r="Z26" i="5"/>
  <c r="AA26" i="5"/>
  <c r="AA21" i="5"/>
  <c r="X21" i="5"/>
  <c r="Y21" i="5"/>
  <c r="AB21" i="5"/>
  <c r="AA19" i="5"/>
  <c r="Y16" i="5"/>
  <c r="AB16" i="5"/>
  <c r="Y10" i="5"/>
  <c r="O48" i="5"/>
  <c r="O37" i="5"/>
  <c r="AC29" i="5"/>
  <c r="AB29" i="5"/>
  <c r="O25" i="5"/>
  <c r="AB26" i="5"/>
  <c r="AC26" i="5"/>
  <c r="AC21" i="5"/>
  <c r="AC17" i="5"/>
  <c r="AA11" i="5"/>
  <c r="X11" i="5"/>
  <c r="AD46" i="5"/>
  <c r="Y46" i="5"/>
  <c r="X46" i="5"/>
  <c r="AB46" i="5"/>
  <c r="AA46" i="5"/>
  <c r="Y20" i="5"/>
  <c r="X20" i="5"/>
  <c r="V18" i="5"/>
  <c r="V9" i="5" s="1"/>
  <c r="AB20" i="5"/>
  <c r="AA20" i="5"/>
  <c r="P61" i="5"/>
  <c r="AB22" i="5"/>
  <c r="Z22" i="5"/>
  <c r="Y11" i="5"/>
  <c r="X17" i="5"/>
  <c r="AB17" i="5"/>
  <c r="AA17" i="5"/>
  <c r="AB41" i="5"/>
  <c r="Z41" i="5"/>
  <c r="X41" i="5"/>
  <c r="V36" i="5"/>
  <c r="Z46" i="5"/>
  <c r="J61" i="5"/>
  <c r="K61" i="5"/>
  <c r="K67" i="5" s="1"/>
  <c r="W52" i="5"/>
  <c r="Y55" i="5"/>
  <c r="X55" i="5"/>
  <c r="AB55" i="5"/>
  <c r="AA55" i="5"/>
  <c r="AB15" i="5"/>
  <c r="AA16" i="5"/>
  <c r="X16" i="5"/>
  <c r="AC16" i="5"/>
  <c r="Z20" i="5"/>
  <c r="AB10" i="5"/>
  <c r="Z11" i="5"/>
  <c r="Y17" i="5"/>
  <c r="O52" i="5"/>
  <c r="Z10" i="5"/>
  <c r="Z15" i="5"/>
  <c r="Z27" i="5"/>
  <c r="AB31" i="5"/>
  <c r="X34" i="5"/>
  <c r="Z40" i="5"/>
  <c r="AB44" i="5"/>
  <c r="V48" i="5"/>
  <c r="AA48" i="5" s="1"/>
  <c r="X49" i="5"/>
  <c r="AB53" i="5"/>
  <c r="X58" i="5"/>
  <c r="X60" i="5"/>
  <c r="AD60" i="5"/>
  <c r="AA10" i="5"/>
  <c r="AA15" i="5"/>
  <c r="Z19" i="5"/>
  <c r="Z33" i="5"/>
  <c r="Z38" i="5"/>
  <c r="X47" i="5"/>
  <c r="V52" i="5"/>
  <c r="Y56" i="5"/>
  <c r="Z59" i="5"/>
  <c r="X29" i="5"/>
  <c r="AB40" i="5"/>
  <c r="Y47" i="5"/>
  <c r="Z54" i="5"/>
  <c r="Y29" i="5"/>
  <c r="W35" i="5"/>
  <c r="AB38" i="5"/>
  <c r="V43" i="5"/>
  <c r="AA43" i="5" s="1"/>
  <c r="AD47" i="5"/>
  <c r="Z49" i="5"/>
  <c r="X57" i="5"/>
  <c r="AD57" i="5"/>
  <c r="Z58" i="5"/>
  <c r="Z60" i="5"/>
  <c r="X10" i="5"/>
  <c r="X15" i="5"/>
  <c r="Z29" i="5"/>
  <c r="X31" i="5"/>
  <c r="Z34" i="5"/>
  <c r="Z39" i="5"/>
  <c r="X44" i="5"/>
  <c r="AB45" i="5"/>
  <c r="AB49" i="5"/>
  <c r="X50" i="5"/>
  <c r="AB54" i="5"/>
  <c r="Z56" i="5"/>
  <c r="AB60" i="5"/>
  <c r="Z47" i="5"/>
  <c r="X45" i="5"/>
  <c r="X54" i="5"/>
  <c r="X59" i="5"/>
  <c r="O24" i="5" l="1"/>
  <c r="AC52" i="5"/>
  <c r="V24" i="5"/>
  <c r="AD43" i="5"/>
  <c r="AD30" i="5"/>
  <c r="AD24" i="5" s="1"/>
  <c r="AD18" i="5"/>
  <c r="AD9" i="5" s="1"/>
  <c r="AD52" i="5"/>
  <c r="T23" i="5"/>
  <c r="T7" i="5" s="1"/>
  <c r="T61" i="5" s="1"/>
  <c r="AC43" i="5"/>
  <c r="AC30" i="5"/>
  <c r="AC48" i="5"/>
  <c r="AB37" i="5"/>
  <c r="AC37" i="5"/>
  <c r="O18" i="5"/>
  <c r="O9" i="5" s="1"/>
  <c r="L23" i="5"/>
  <c r="L7" i="5"/>
  <c r="L8" i="5" s="1"/>
  <c r="Q61" i="5"/>
  <c r="AA28" i="5"/>
  <c r="X13" i="5"/>
  <c r="R61" i="5"/>
  <c r="Z28" i="5"/>
  <c r="AC28" i="5"/>
  <c r="AB28" i="5"/>
  <c r="X28" i="5"/>
  <c r="Y28" i="5"/>
  <c r="AA30" i="5"/>
  <c r="AB13" i="5"/>
  <c r="AB30" i="5"/>
  <c r="AA13" i="5"/>
  <c r="AB25" i="5"/>
  <c r="Y25" i="5"/>
  <c r="X25" i="5"/>
  <c r="AA25" i="5"/>
  <c r="Z25" i="5"/>
  <c r="AC25" i="5"/>
  <c r="Z13" i="5"/>
  <c r="AB19" i="5"/>
  <c r="Y13" i="5"/>
  <c r="Y30" i="5"/>
  <c r="X30" i="5"/>
  <c r="Z30" i="5"/>
  <c r="O36" i="5"/>
  <c r="Y36" i="5"/>
  <c r="X36" i="5"/>
  <c r="V35" i="5"/>
  <c r="AA36" i="5"/>
  <c r="Z36" i="5"/>
  <c r="AA18" i="5"/>
  <c r="Z18" i="5"/>
  <c r="Y18" i="5"/>
  <c r="X18" i="5"/>
  <c r="Y48" i="5"/>
  <c r="X48" i="5"/>
  <c r="AB48" i="5"/>
  <c r="Z48" i="5"/>
  <c r="Y52" i="5"/>
  <c r="X52" i="5"/>
  <c r="AB52" i="5"/>
  <c r="AA52" i="5"/>
  <c r="Z52" i="5"/>
  <c r="AB43" i="5"/>
  <c r="Z43" i="5"/>
  <c r="Y43" i="5"/>
  <c r="X43" i="5"/>
  <c r="AD23" i="5" l="1"/>
  <c r="AD7" i="5" s="1"/>
  <c r="AD8" i="5" s="1"/>
  <c r="N61" i="5"/>
  <c r="AC18" i="5"/>
  <c r="AB18" i="5"/>
  <c r="O35" i="5"/>
  <c r="AC35" i="5" s="1"/>
  <c r="AC36" i="5"/>
  <c r="L61" i="5"/>
  <c r="L66" i="5" s="1"/>
  <c r="Z24" i="5"/>
  <c r="AA24" i="5"/>
  <c r="Y24" i="5"/>
  <c r="V23" i="5"/>
  <c r="X24" i="5"/>
  <c r="AB36" i="5"/>
  <c r="AB24" i="5"/>
  <c r="AC24" i="5"/>
  <c r="W7" i="5"/>
  <c r="T8" i="5"/>
  <c r="W23" i="5"/>
  <c r="Z9" i="5"/>
  <c r="X9" i="5"/>
  <c r="AC9" i="5"/>
  <c r="Y9" i="5"/>
  <c r="AB9" i="5"/>
  <c r="AA9" i="5"/>
  <c r="AA35" i="5"/>
  <c r="Z35" i="5"/>
  <c r="Y35" i="5"/>
  <c r="X35" i="5"/>
  <c r="AD61" i="5" l="1"/>
  <c r="O23" i="5"/>
  <c r="O7" i="5" s="1"/>
  <c r="AB35" i="5"/>
  <c r="AA23" i="5"/>
  <c r="V7" i="5"/>
  <c r="AA7" i="5" s="1"/>
  <c r="Y23" i="5"/>
  <c r="Z23" i="5"/>
  <c r="X23" i="5"/>
  <c r="W8" i="5"/>
  <c r="W61" i="5"/>
  <c r="O8" i="5" l="1"/>
  <c r="AB7" i="5"/>
  <c r="V8" i="5"/>
  <c r="Z8" i="5" s="1"/>
  <c r="AC23" i="5"/>
  <c r="O61" i="5"/>
  <c r="P3" i="5" s="1"/>
  <c r="AB23" i="5"/>
  <c r="X7" i="5"/>
  <c r="Z7" i="5"/>
  <c r="Y7" i="5"/>
  <c r="AC7" i="5"/>
  <c r="V61" i="5"/>
  <c r="AC61" i="5" l="1"/>
  <c r="AA61" i="5"/>
  <c r="Z61" i="5"/>
  <c r="AB8" i="5"/>
  <c r="Y8" i="5"/>
  <c r="AC8" i="5"/>
  <c r="X8" i="5"/>
  <c r="AA8" i="5"/>
  <c r="Y61" i="5"/>
  <c r="AB61" i="5"/>
  <c r="X61" i="5"/>
</calcChain>
</file>

<file path=xl/sharedStrings.xml><?xml version="1.0" encoding="utf-8"?>
<sst xmlns="http://schemas.openxmlformats.org/spreadsheetml/2006/main" count="109" uniqueCount="101">
  <si>
    <t>21900000 ВОЗВРАТ ОСТАТКОВ СУБСИДИЙ, СУБВЕНЦИЙ И ИНЫХ МЕЖБЮДЖЕТНЫХ ТРАНСФЕРТОВ, ИМЕЮЩИХ ЦЕЛЕВОЕ НАЗНАЧЕНИЕ, ПРОШЛЫХ ЛЕТ</t>
  </si>
  <si>
    <t>20000000 БЕЗВОЗМЕЗДНЫЕ ПОСТУПЛЕНИЯ</t>
  </si>
  <si>
    <t>20700000 ПРОЧИЕ БЕЗВОЗМЕЗДНЫЕ ПОСТУПЛЕНИЯ</t>
  </si>
  <si>
    <t>20240000 Иные межбюджетные трансферты</t>
  </si>
  <si>
    <t>20230000 Субвенции бюджетам бюджетной системы Российской Федерации</t>
  </si>
  <si>
    <t>20220000 Субсидии бюджетам бюджетной системы Российской Федерации (межбюджетные субсидии)</t>
  </si>
  <si>
    <t>20210000 Дотации бюджетам бюджетной системы Российской Федерации</t>
  </si>
  <si>
    <t>11700000 ПРОЧИЕ НЕНАЛОГОВЫЕ ДОХОДЫ</t>
  </si>
  <si>
    <t>10000000 НАЛОГОВЫЕ И НЕНАЛОГОВЫЕ ДОХОДЫ</t>
  </si>
  <si>
    <t>11600000 ШТРАФЫ, САНКЦИИ, ВОЗМЕЩЕНИЕ УЩЕРБА</t>
  </si>
  <si>
    <t>11406000 Доходы от продажи земельных участков, находящихся в государственной и муниципальной собственности</t>
  </si>
  <si>
    <t>11400000 ДОХОДЫ ОТ ПРОДАЖИ МАТЕРИАЛЬНЫХ И НЕМАТЕРИАЛЬНЫХ АКТИВОВ</t>
  </si>
  <si>
    <t>11302000 Доходы от компенсации затрат государства</t>
  </si>
  <si>
    <t>11300000 ДОХОДЫ ОТ ОКАЗАНИЯ ПЛАТНЫХ УСЛУГ (РАБОТ) И КОМПЕНСАЦИИ ЗАТРАТ ГОСУДАРСТВА</t>
  </si>
  <si>
    <t>11201000 Плата за негативное воздействие на окружающую среду</t>
  </si>
  <si>
    <t>11100000 ДОХОДЫ ОТ ИСПОЛЬЗОВАНИЯ ИМУЩЕСТВА, НАХОДЯЩЕГОСЯ В ГОСУДАРСТВЕННОЙ И МУНИЦИПАЛЬНОЙ СОБСТВЕННОСТИ</t>
  </si>
  <si>
    <t>10800000 ГОСУДАРСТВЕННАЯ ПОШЛИНА</t>
  </si>
  <si>
    <t>10606000 Земельный налог</t>
  </si>
  <si>
    <t>10600000 НАЛОГИ НА ИМУЩЕСТВО</t>
  </si>
  <si>
    <t>10601000 Налог на имущество физических лиц</t>
  </si>
  <si>
    <t>10504000 Налог, взимаемый в связи с применением патентной системы налогообложения</t>
  </si>
  <si>
    <t>10503000 Единый сельскохозяйственный налог</t>
  </si>
  <si>
    <t>10502000 Единый налог на вмененный доход для отдельных видов деятельности</t>
  </si>
  <si>
    <t>10302000 Акцизы по подакцизным товарам (продукции), производимым на территории Российской Федерации</t>
  </si>
  <si>
    <t>10102000 Налог на доходы физических лиц</t>
  </si>
  <si>
    <t>Код дохода</t>
  </si>
  <si>
    <t>КД</t>
  </si>
  <si>
    <t>КД5 Х.ХХ.ХХ.ХХХ</t>
  </si>
  <si>
    <t>КД4</t>
  </si>
  <si>
    <t>КД3</t>
  </si>
  <si>
    <t>КД2</t>
  </si>
  <si>
    <t>КД1</t>
  </si>
  <si>
    <t>Наименование показателя</t>
  </si>
  <si>
    <t xml:space="preserve">11402000 Доходы от реализации имущества, находящегося в государственной и муниципальной собственности </t>
  </si>
  <si>
    <t>сумма</t>
  </si>
  <si>
    <t>%</t>
  </si>
  <si>
    <t>Л.В. Кузнецова</t>
  </si>
  <si>
    <t>21800000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</si>
  <si>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начальник ФУ АБГО СК</t>
  </si>
  <si>
    <t>откл.+- недели Т/П</t>
  </si>
  <si>
    <t>10501000 Налог, взимаемый в связи с применением упрощенной системы налогообложения</t>
  </si>
  <si>
    <t>11715000 Инициативные платежи</t>
  </si>
  <si>
    <t xml:space="preserve">Заместитель главы администрации - </t>
  </si>
  <si>
    <t>исполнение за неделю</t>
  </si>
  <si>
    <t>10900000 ЗАДОЛЖЕННОСТЬ И ПЕРЕРАСЧЕТЫ ПО ОТМЕНЕННЫМ НАЛОГАМ, СБОРАМ И ИНЫМ ОБЯЗАТЕЛЬНЫМ ПЛАТЕЖАМ</t>
  </si>
  <si>
    <t>(рублей)</t>
  </si>
  <si>
    <t>11301000 Доходы от оказания платных услуг (работ), в т.ч.:</t>
  </si>
  <si>
    <t xml:space="preserve"> НАЛОГОВЫЕ И
 НЕНАЛОГОВЫЕ ДОХОДЫ БЕЗ ПЛАТНЫХ УСЛУГ  И КОМПЕНСАЦИИ ЗАТРАТ ГОСУДАРСТВА И БЕЗ ИНИЦИАТИВНЫХ ПЛАТЕЖЕЙ</t>
  </si>
  <si>
    <t>20800000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</t>
  </si>
  <si>
    <t>НАЛОГОВЫЕ ДОХОДЫ, в т.ч.:</t>
  </si>
  <si>
    <t>НЕНАЛОГОВЫЕ ДОХОДЫ, в т.ч.: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</si>
  <si>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участков, в т.ч.:</t>
  </si>
  <si>
    <r>
      <rPr>
        <b/>
        <sz val="14"/>
        <rFont val="Times New Roman"/>
        <family val="1"/>
        <charset val="204"/>
      </rPr>
      <t>011</t>
    </r>
    <r>
      <rPr>
        <sz val="14"/>
        <rFont val="Times New Roman"/>
        <family val="1"/>
        <charset val="204"/>
      </rPr>
      <t xml:space="preserve"> Министерство имущественных отношений Ставропольского края</t>
    </r>
  </si>
  <si>
    <t xml:space="preserve">Доходы от сдачи в аренду имущества, находящегося в оперативном управлении органов управления городских округов и созданных ими учреждений, в т.ч.: </t>
  </si>
  <si>
    <t>=</t>
  </si>
  <si>
    <t>11109000 Прочие доходы от использования имущества и прав, находящихся в государственной и муниципальной собственности, в т.ч.:</t>
  </si>
  <si>
    <t>11701000 Невыясненные поступления</t>
  </si>
  <si>
    <r>
      <rPr>
        <b/>
        <sz val="14"/>
        <rFont val="Times New Roman"/>
        <family val="1"/>
        <charset val="204"/>
      </rPr>
      <t>702</t>
    </r>
    <r>
      <rPr>
        <sz val="14"/>
        <rFont val="Times New Roman"/>
        <family val="1"/>
        <charset val="204"/>
      </rPr>
      <t xml:space="preserve"> Управление АГИиЗО АБГО СК</t>
    </r>
  </si>
  <si>
    <r>
      <rPr>
        <b/>
        <sz val="14"/>
        <rFont val="Times New Roman"/>
        <family val="1"/>
        <charset val="204"/>
      </rPr>
      <t>702</t>
    </r>
    <r>
      <rPr>
        <sz val="14"/>
        <rFont val="Times New Roman"/>
        <family val="1"/>
        <charset val="204"/>
      </rPr>
      <t xml:space="preserve"> Управление АГИиЗО АБГО СК (прочие поступления от использования имущ-ва, находящегося в собственности ГО)</t>
    </r>
  </si>
  <si>
    <r>
      <rPr>
        <b/>
        <sz val="14"/>
        <rFont val="Times New Roman"/>
        <family val="1"/>
        <charset val="204"/>
      </rPr>
      <t>702</t>
    </r>
    <r>
      <rPr>
        <sz val="14"/>
        <rFont val="Times New Roman"/>
        <family val="1"/>
        <charset val="204"/>
      </rPr>
      <t xml:space="preserve"> Управление АГИиЗО АБГО СК (установка и эксплуатация рекламных конструкций)</t>
    </r>
  </si>
  <si>
    <t>701 1 13 01994 14 2000 130</t>
  </si>
  <si>
    <t>706 1 13 01994 14 2000 130</t>
  </si>
  <si>
    <t>707 1 13 01994 14 2000 130</t>
  </si>
  <si>
    <t>711 1 13 01994 14 2000 130</t>
  </si>
  <si>
    <t>744 1 13 01994 14 0000 130</t>
  </si>
  <si>
    <t>в т.ч. 701 Администрация БМО СК</t>
  </si>
  <si>
    <t>Исполнено с 01.01.2023 года по 06.06.2023 год (в сопоставимых условиях 2024 года)     (31,84%)</t>
  </si>
  <si>
    <t>начальник ФУ АБМО СК</t>
  </si>
  <si>
    <r>
      <t xml:space="preserve">11705000 Прочие неналоговые доходы </t>
    </r>
    <r>
      <rPr>
        <b/>
        <sz val="14"/>
        <rFont val="Times New Roman"/>
        <family val="1"/>
        <charset val="204"/>
      </rPr>
      <t>(торговые места+семейное захоронение)</t>
    </r>
  </si>
  <si>
    <r>
      <rPr>
        <b/>
        <sz val="14"/>
        <rFont val="Times New Roman"/>
        <family val="1"/>
        <charset val="204"/>
      </rPr>
      <t>702</t>
    </r>
    <r>
      <rPr>
        <sz val="14"/>
        <rFont val="Times New Roman"/>
        <family val="1"/>
        <charset val="204"/>
      </rPr>
      <t xml:space="preserve"> Управление АГЗиИО АБМО СК</t>
    </r>
  </si>
  <si>
    <t xml:space="preserve">Земельный налог с организаций, обладающих земельным участком, расположенным в границах муниципальных округов </t>
  </si>
  <si>
    <t xml:space="preserve">Земельный налог с физических лиц, обладающих земельным участком, расположенным в границах муниципальных округов </t>
  </si>
  <si>
    <r>
      <t xml:space="preserve">701 </t>
    </r>
    <r>
      <rPr>
        <sz val="14"/>
        <rFont val="Times New Roman"/>
        <family val="1"/>
        <charset val="204"/>
      </rPr>
      <t xml:space="preserve"> АБГО СК (размещение и эксплуатация нестационарного торгового объекта)</t>
    </r>
  </si>
  <si>
    <t>ОЖИДАЕМОЕ в 2025 году</t>
  </si>
  <si>
    <t>План по доходам с учетом изменений на 2025 г</t>
  </si>
  <si>
    <t>ФАКТ за 2025 г</t>
  </si>
  <si>
    <t>откл за отч период к  плану 2025 года</t>
  </si>
  <si>
    <r>
      <t xml:space="preserve">ФАКТ за 2025 г (в сопоставимых условиях 2026 года)   
 </t>
    </r>
    <r>
      <rPr>
        <b/>
        <sz val="14"/>
        <rFont val="Times New Roman"/>
        <family val="1"/>
        <charset val="204"/>
      </rPr>
      <t xml:space="preserve"> (53,20%)</t>
    </r>
  </si>
  <si>
    <t>План по доходам на 2026 г (уточненный)</t>
  </si>
  <si>
    <t>План по доходам на 2026 г (первоначальный)</t>
  </si>
  <si>
    <t>10303000 Туристический налог</t>
  </si>
  <si>
    <t>откл.+- от уточненного годового плана 2026 г</t>
  </si>
  <si>
    <t xml:space="preserve">В результате проведенных аукционов снизилось количество обращений граждан на заключения договоров аренды имущества
</t>
  </si>
  <si>
    <t xml:space="preserve">В результате поступления уведомлений на уменьшение сумм платежей, в связи с переплатой авансовых платежей в 2025 году (октябрь) - ООО "АгроПромЭнерго" и изменения срока уплаты платежей по итогу года (перенос с 28 февр. на 02 марта)
</t>
  </si>
  <si>
    <t>Исполняющий обязанности начальника</t>
  </si>
  <si>
    <t xml:space="preserve">финансового управления АБМО СК, начальник отдела правового и информационного обеспечения финансового управления АБМО СК </t>
  </si>
  <si>
    <t>И.П. Анисимова</t>
  </si>
  <si>
    <t>Отсутствие уплаты текущих начислений по сроку 28.04.2026 г. по ряду налогоплательщиков (3 552,00 тыс. рублей)</t>
  </si>
  <si>
    <t xml:space="preserve">1) Т.к. срок уплаты авнсовых платежей пришелся в 2024 году на выходной день (29.12.2024) - зачисление сумм прошло в январе 2025 года;
2) Проведение зачетов с налога на ЕНП, в связи с предоставлением уведомлений об уменьшении патента на сумму страховых взносов;
3) Снижение кол-ва выданных патентов на 2026 г на 36,6% или 277 ед., в результате сумма исчисленного налога по сроку 01.04.2026 снизилась на 1 138 тыс. рублей.  </t>
  </si>
  <si>
    <t xml:space="preserve">1) Снижение поступлений в счет погашения задолженности;
2) Проведение зачетов с налога на ЕНП, в результате пересчетов "к уменьшению" за предыдущ. налоговые периоды  (2022-2024 гг) по ряду налогоплательщ. (22,00 тыс. руб.)
</t>
  </si>
  <si>
    <t xml:space="preserve">1) Снижение поступлений в счет погашения задолженности;
2) Проведение зачетов с налога на ЕНП, в результате пересчетов "к уменьшению" за предыдущ. налоговые периоды  (2022-2024 гг) по ряду налогоплательщ. (59,00 тыс. руб.)
</t>
  </si>
  <si>
    <t>В результате увеличения реализации с/х продукции НП ООО "Спасское"</t>
  </si>
  <si>
    <t>откл.+- от плана за 9 месяцев 2026 года</t>
  </si>
  <si>
    <t>Исполнение бюджета Благодарненского муниципального округа Ставропольского края по доходам по состоянию на 10 сентября 2026 года</t>
  </si>
  <si>
    <t>Исполнено с 01.01.2025 по 10.09.2025 год</t>
  </si>
  <si>
    <r>
      <t>Исполнено с 01.01.2025 года по 10.09.2025 год (в сопоставимых условиях 2026 года)</t>
    </r>
    <r>
      <rPr>
        <b/>
        <sz val="14"/>
        <rFont val="Times New Roman"/>
        <family val="1"/>
        <charset val="204"/>
      </rPr>
      <t xml:space="preserve">     (53,20%)</t>
    </r>
  </si>
  <si>
    <t>с 28.08.2026 по 03.09.2026 (неделя) П</t>
  </si>
  <si>
    <t>с 04.09.2026 по 10.09.2026 (неделя) Т</t>
  </si>
  <si>
    <t>Исполнение с 01.01.2026 по 03.09.2026
(52,50%)</t>
  </si>
  <si>
    <r>
      <t xml:space="preserve">Исполнение с 01.01.2026 по 10.09.2026
</t>
    </r>
    <r>
      <rPr>
        <b/>
        <sz val="14"/>
        <rFont val="Times New Roman"/>
        <family val="1"/>
        <charset val="204"/>
      </rPr>
      <t>(52,50%)</t>
    </r>
  </si>
  <si>
    <t>откл.+- от исполнения на 10.09.2025 г  (в сопоставимых условиях 2026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</si>
</sst>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\-#,##0.00;0.00"/>
    <numFmt numFmtId="165" formatCode="#,##0.00_ ;[Red]\-#,##0.00\ "/>
  </numFmts>
  <fonts count="3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0"/>
      <name val="Arial"/>
      <family val="2"/>
      <charset val="204"/>
    </font>
    <font>
      <b/>
      <sz val="14"/>
      <color theme="0"/>
      <name val="Times New Roman"/>
      <family val="1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rgb="FF7030A0"/>
      <name val="Times New Roman"/>
      <family val="1"/>
      <charset val="204"/>
    </font>
    <font>
      <sz val="10"/>
      <name val="Arial"/>
      <family val="2"/>
      <charset val="204"/>
    </font>
    <font>
      <sz val="10"/>
      <color theme="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1" fillId="0" borderId="0"/>
    <xf numFmtId="0" fontId="6" fillId="0" borderId="0"/>
    <xf numFmtId="0" fontId="6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7" fillId="0" borderId="0"/>
    <xf numFmtId="0" fontId="28" fillId="0" borderId="0"/>
    <xf numFmtId="0" fontId="30" fillId="0" borderId="0"/>
  </cellStyleXfs>
  <cellXfs count="140">
    <xf numFmtId="0" fontId="0" fillId="0" borderId="0" xfId="0"/>
    <xf numFmtId="0" fontId="1" fillId="0" borderId="0" xfId="1"/>
    <xf numFmtId="0" fontId="2" fillId="0" borderId="0" xfId="1" applyFont="1" applyProtection="1">
      <protection hidden="1"/>
    </xf>
    <xf numFmtId="0" fontId="1" fillId="0" borderId="0" xfId="1" applyAlignment="1" applyProtection="1">
      <alignment vertical="top"/>
      <protection hidden="1"/>
    </xf>
    <xf numFmtId="0" fontId="4" fillId="0" borderId="0" xfId="1" applyFont="1" applyProtection="1">
      <protection hidden="1"/>
    </xf>
    <xf numFmtId="0" fontId="4" fillId="0" borderId="0" xfId="1" applyFont="1"/>
    <xf numFmtId="0" fontId="4" fillId="0" borderId="1" xfId="1" applyFont="1" applyBorder="1" applyAlignment="1" applyProtection="1">
      <alignment horizontal="center"/>
      <protection hidden="1"/>
    </xf>
    <xf numFmtId="0" fontId="4" fillId="0" borderId="0" xfId="1" applyFont="1" applyAlignment="1" applyProtection="1">
      <alignment horizontal="centerContinuous" vertical="center"/>
      <protection hidden="1"/>
    </xf>
    <xf numFmtId="0" fontId="4" fillId="0" borderId="1" xfId="1" applyFont="1" applyBorder="1" applyProtection="1">
      <protection hidden="1"/>
    </xf>
    <xf numFmtId="0" fontId="3" fillId="0" borderId="0" xfId="1" applyFont="1" applyProtection="1">
      <protection hidden="1"/>
    </xf>
    <xf numFmtId="0" fontId="3" fillId="0" borderId="0" xfId="1" applyFont="1"/>
    <xf numFmtId="0" fontId="3" fillId="0" borderId="1" xfId="1" applyFont="1" applyBorder="1" applyAlignment="1" applyProtection="1">
      <alignment horizontal="center"/>
      <protection hidden="1"/>
    </xf>
    <xf numFmtId="164" fontId="3" fillId="0" borderId="1" xfId="1" applyNumberFormat="1" applyFont="1" applyBorder="1" applyAlignment="1" applyProtection="1">
      <alignment horizontal="right"/>
      <protection hidden="1"/>
    </xf>
    <xf numFmtId="164" fontId="4" fillId="0" borderId="1" xfId="1" applyNumberFormat="1" applyFont="1" applyBorder="1" applyAlignment="1" applyProtection="1">
      <alignment horizontal="right"/>
      <protection hidden="1"/>
    </xf>
    <xf numFmtId="165" fontId="1" fillId="0" borderId="0" xfId="1" applyNumberFormat="1"/>
    <xf numFmtId="164" fontId="4" fillId="3" borderId="1" xfId="1" applyNumberFormat="1" applyFont="1" applyFill="1" applyBorder="1" applyAlignment="1" applyProtection="1">
      <alignment horizontal="right"/>
      <protection hidden="1"/>
    </xf>
    <xf numFmtId="165" fontId="4" fillId="0" borderId="0" xfId="1" applyNumberFormat="1" applyFont="1"/>
    <xf numFmtId="0" fontId="4" fillId="3" borderId="0" xfId="1" applyFont="1" applyFill="1" applyProtection="1">
      <protection hidden="1"/>
    </xf>
    <xf numFmtId="0" fontId="4" fillId="3" borderId="1" xfId="1" applyFont="1" applyFill="1" applyBorder="1" applyAlignment="1" applyProtection="1">
      <alignment horizontal="left" wrapText="1"/>
      <protection hidden="1"/>
    </xf>
    <xf numFmtId="0" fontId="4" fillId="3" borderId="1" xfId="1" applyFont="1" applyFill="1" applyBorder="1" applyAlignment="1" applyProtection="1">
      <alignment horizontal="right" wrapText="1"/>
      <protection hidden="1"/>
    </xf>
    <xf numFmtId="0" fontId="4" fillId="3" borderId="0" xfId="1" applyFont="1" applyFill="1"/>
    <xf numFmtId="164" fontId="7" fillId="0" borderId="1" xfId="1" applyNumberFormat="1" applyFont="1" applyBorder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" vertical="center"/>
      <protection hidden="1"/>
    </xf>
    <xf numFmtId="164" fontId="4" fillId="7" borderId="1" xfId="1" applyNumberFormat="1" applyFont="1" applyFill="1" applyBorder="1" applyAlignment="1" applyProtection="1">
      <alignment horizontal="right"/>
      <protection hidden="1"/>
    </xf>
    <xf numFmtId="0" fontId="4" fillId="0" borderId="5" xfId="1" applyFont="1" applyBorder="1" applyAlignment="1" applyProtection="1">
      <alignment horizontal="center" vertical="center"/>
      <protection hidden="1"/>
    </xf>
    <xf numFmtId="0" fontId="4" fillId="0" borderId="1" xfId="1" applyFont="1" applyBorder="1" applyAlignment="1">
      <alignment horizontal="center" vertical="center" wrapText="1"/>
    </xf>
    <xf numFmtId="164" fontId="3" fillId="7" borderId="1" xfId="1" applyNumberFormat="1" applyFont="1" applyFill="1" applyBorder="1" applyAlignment="1" applyProtection="1">
      <alignment horizontal="right"/>
      <protection hidden="1"/>
    </xf>
    <xf numFmtId="164" fontId="3" fillId="8" borderId="1" xfId="1" applyNumberFormat="1" applyFont="1" applyFill="1" applyBorder="1" applyAlignment="1" applyProtection="1">
      <alignment horizontal="right"/>
      <protection hidden="1"/>
    </xf>
    <xf numFmtId="164" fontId="3" fillId="3" borderId="1" xfId="1" applyNumberFormat="1" applyFont="1" applyFill="1" applyBorder="1" applyAlignment="1" applyProtection="1">
      <alignment horizontal="right"/>
      <protection hidden="1"/>
    </xf>
    <xf numFmtId="0" fontId="4" fillId="0" borderId="0" xfId="1" applyFont="1" applyAlignment="1" applyProtection="1">
      <alignment horizontal="center" vertical="center"/>
      <protection hidden="1"/>
    </xf>
    <xf numFmtId="0" fontId="3" fillId="0" borderId="1" xfId="1" applyFont="1" applyBorder="1" applyAlignment="1" applyProtection="1">
      <alignment horizontal="left" wrapText="1"/>
      <protection hidden="1"/>
    </xf>
    <xf numFmtId="0" fontId="4" fillId="0" borderId="1" xfId="1" applyFont="1" applyBorder="1" applyAlignment="1" applyProtection="1">
      <alignment horizontal="lef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4" fontId="4" fillId="0" borderId="2" xfId="1" applyNumberFormat="1" applyFont="1" applyBorder="1" applyAlignment="1" applyProtection="1">
      <alignment horizontal="right"/>
      <protection hidden="1"/>
    </xf>
    <xf numFmtId="0" fontId="4" fillId="7" borderId="1" xfId="1" applyFont="1" applyFill="1" applyBorder="1" applyAlignment="1" applyProtection="1">
      <alignment horizontal="left" wrapText="1"/>
      <protection hidden="1"/>
    </xf>
    <xf numFmtId="164" fontId="3" fillId="0" borderId="2" xfId="1" applyNumberFormat="1" applyFont="1" applyBorder="1" applyAlignment="1" applyProtection="1">
      <alignment horizontal="right"/>
      <protection hidden="1"/>
    </xf>
    <xf numFmtId="164" fontId="3" fillId="7" borderId="2" xfId="1" applyNumberFormat="1" applyFont="1" applyFill="1" applyBorder="1" applyAlignment="1" applyProtection="1">
      <alignment horizontal="right"/>
      <protection hidden="1"/>
    </xf>
    <xf numFmtId="164" fontId="3" fillId="0" borderId="3" xfId="1" applyNumberFormat="1" applyFont="1" applyBorder="1" applyAlignment="1" applyProtection="1">
      <alignment horizontal="right"/>
      <protection hidden="1"/>
    </xf>
    <xf numFmtId="164" fontId="3" fillId="5" borderId="3" xfId="1" applyNumberFormat="1" applyFont="1" applyFill="1" applyBorder="1" applyAlignment="1" applyProtection="1">
      <alignment horizontal="right"/>
      <protection hidden="1"/>
    </xf>
    <xf numFmtId="164" fontId="3" fillId="7" borderId="3" xfId="1" applyNumberFormat="1" applyFont="1" applyFill="1" applyBorder="1" applyAlignment="1" applyProtection="1">
      <alignment horizontal="right"/>
      <protection hidden="1"/>
    </xf>
    <xf numFmtId="164" fontId="3" fillId="4" borderId="1" xfId="1" applyNumberFormat="1" applyFont="1" applyFill="1" applyBorder="1" applyAlignment="1" applyProtection="1">
      <alignment horizontal="right"/>
      <protection hidden="1"/>
    </xf>
    <xf numFmtId="165" fontId="3" fillId="4" borderId="1" xfId="1" applyNumberFormat="1" applyFont="1" applyFill="1" applyBorder="1" applyAlignment="1" applyProtection="1">
      <alignment wrapText="1"/>
      <protection hidden="1"/>
    </xf>
    <xf numFmtId="0" fontId="4" fillId="2" borderId="1" xfId="1" applyFont="1" applyFill="1" applyBorder="1" applyAlignment="1" applyProtection="1">
      <alignment horizontal="left" vertical="top" wrapText="1"/>
      <protection hidden="1"/>
    </xf>
    <xf numFmtId="0" fontId="3" fillId="0" borderId="0" xfId="1" applyFont="1" applyAlignment="1" applyProtection="1">
      <alignment horizontal="left" vertical="top" wrapText="1"/>
      <protection hidden="1"/>
    </xf>
    <xf numFmtId="0" fontId="3" fillId="4" borderId="1" xfId="1" applyFont="1" applyFill="1" applyBorder="1" applyAlignment="1" applyProtection="1">
      <alignment vertical="top" wrapText="1"/>
      <protection hidden="1"/>
    </xf>
    <xf numFmtId="0" fontId="3" fillId="0" borderId="1" xfId="1" applyFont="1" applyBorder="1" applyAlignment="1" applyProtection="1">
      <alignment horizontal="left" vertical="top" wrapText="1"/>
      <protection hidden="1"/>
    </xf>
    <xf numFmtId="0" fontId="3" fillId="0" borderId="5" xfId="1" applyFont="1" applyBorder="1" applyAlignment="1" applyProtection="1">
      <alignment horizontal="left" vertical="top" wrapText="1"/>
      <protection hidden="1"/>
    </xf>
    <xf numFmtId="0" fontId="4" fillId="3" borderId="1" xfId="1" applyFont="1" applyFill="1" applyBorder="1" applyAlignment="1" applyProtection="1">
      <alignment horizontal="left" vertical="top" wrapText="1"/>
      <protection hidden="1"/>
    </xf>
    <xf numFmtId="0" fontId="4" fillId="3" borderId="1" xfId="1" applyFont="1" applyFill="1" applyBorder="1" applyAlignment="1" applyProtection="1">
      <alignment horizontal="center"/>
      <protection hidden="1"/>
    </xf>
    <xf numFmtId="164" fontId="3" fillId="10" borderId="2" xfId="1" applyNumberFormat="1" applyFont="1" applyFill="1" applyBorder="1" applyAlignment="1" applyProtection="1">
      <alignment horizontal="right"/>
      <protection hidden="1"/>
    </xf>
    <xf numFmtId="164" fontId="4" fillId="4" borderId="1" xfId="1" applyNumberFormat="1" applyFont="1" applyFill="1" applyBorder="1" applyAlignment="1" applyProtection="1">
      <alignment horizontal="right"/>
      <protection hidden="1"/>
    </xf>
    <xf numFmtId="0" fontId="3" fillId="0" borderId="6" xfId="8" applyFont="1" applyBorder="1" applyAlignment="1" applyProtection="1">
      <alignment horizontal="left" vertical="top" wrapText="1"/>
      <protection hidden="1"/>
    </xf>
    <xf numFmtId="0" fontId="3" fillId="11" borderId="3" xfId="1" applyFont="1" applyFill="1" applyBorder="1" applyAlignment="1" applyProtection="1">
      <alignment vertical="top" wrapText="1"/>
      <protection hidden="1"/>
    </xf>
    <xf numFmtId="165" fontId="3" fillId="11" borderId="3" xfId="1" applyNumberFormat="1" applyFont="1" applyFill="1" applyBorder="1" applyAlignment="1" applyProtection="1">
      <alignment wrapText="1"/>
      <protection hidden="1"/>
    </xf>
    <xf numFmtId="164" fontId="3" fillId="11" borderId="1" xfId="1" applyNumberFormat="1" applyFont="1" applyFill="1" applyBorder="1" applyAlignment="1" applyProtection="1">
      <alignment horizontal="right"/>
      <protection hidden="1"/>
    </xf>
    <xf numFmtId="164" fontId="3" fillId="11" borderId="2" xfId="1" applyNumberFormat="1" applyFont="1" applyFill="1" applyBorder="1" applyAlignment="1" applyProtection="1">
      <alignment horizontal="right"/>
      <protection hidden="1"/>
    </xf>
    <xf numFmtId="0" fontId="3" fillId="11" borderId="6" xfId="8" applyFont="1" applyFill="1" applyBorder="1" applyAlignment="1" applyProtection="1">
      <alignment horizontal="left" vertical="top" wrapText="1"/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5" fillId="0" borderId="0" xfId="1" applyFont="1"/>
    <xf numFmtId="0" fontId="5" fillId="3" borderId="1" xfId="1" applyFont="1" applyFill="1" applyBorder="1" applyAlignment="1" applyProtection="1">
      <alignment horizontal="center" vertical="center" wrapText="1"/>
      <protection hidden="1"/>
    </xf>
    <xf numFmtId="4" fontId="21" fillId="0" borderId="4" xfId="1" applyNumberFormat="1" applyFont="1" applyBorder="1" applyAlignment="1" applyProtection="1">
      <alignment vertical="center"/>
      <protection hidden="1"/>
    </xf>
    <xf numFmtId="0" fontId="21" fillId="0" borderId="0" xfId="1" applyFont="1" applyProtection="1">
      <protection hidden="1"/>
    </xf>
    <xf numFmtId="0" fontId="3" fillId="10" borderId="1" xfId="1" applyFont="1" applyFill="1" applyBorder="1" applyAlignment="1" applyProtection="1">
      <alignment horizontal="left" vertical="top" wrapText="1"/>
      <protection hidden="1"/>
    </xf>
    <xf numFmtId="0" fontId="3" fillId="2" borderId="1" xfId="1" applyFont="1" applyFill="1" applyBorder="1" applyAlignment="1" applyProtection="1">
      <alignment horizontal="left" vertical="top" wrapText="1"/>
      <protection hidden="1"/>
    </xf>
    <xf numFmtId="0" fontId="22" fillId="0" borderId="0" xfId="1" applyFont="1" applyAlignment="1">
      <alignment wrapText="1"/>
    </xf>
    <xf numFmtId="164" fontId="5" fillId="0" borderId="0" xfId="1" applyNumberFormat="1" applyFont="1" applyAlignment="1" applyProtection="1">
      <alignment horizontal="right"/>
      <protection hidden="1"/>
    </xf>
    <xf numFmtId="165" fontId="5" fillId="0" borderId="0" xfId="1" applyNumberFormat="1" applyFont="1"/>
    <xf numFmtId="4" fontId="5" fillId="0" borderId="0" xfId="1" applyNumberFormat="1" applyFont="1"/>
    <xf numFmtId="164" fontId="23" fillId="0" borderId="0" xfId="1" applyNumberFormat="1" applyFont="1" applyAlignment="1" applyProtection="1">
      <alignment horizontal="right"/>
      <protection hidden="1"/>
    </xf>
    <xf numFmtId="4" fontId="5" fillId="0" borderId="0" xfId="1" applyNumberFormat="1" applyFont="1" applyProtection="1">
      <protection hidden="1"/>
    </xf>
    <xf numFmtId="164" fontId="21" fillId="0" borderId="0" xfId="1" applyNumberFormat="1" applyFont="1" applyAlignment="1" applyProtection="1">
      <alignment horizontal="right"/>
      <protection hidden="1"/>
    </xf>
    <xf numFmtId="165" fontId="21" fillId="0" borderId="0" xfId="1" applyNumberFormat="1" applyFont="1"/>
    <xf numFmtId="0" fontId="21" fillId="0" borderId="0" xfId="1" applyFont="1"/>
    <xf numFmtId="4" fontId="21" fillId="3" borderId="4" xfId="1" applyNumberFormat="1" applyFont="1" applyFill="1" applyBorder="1" applyAlignment="1" applyProtection="1">
      <alignment vertical="center"/>
      <protection hidden="1"/>
    </xf>
    <xf numFmtId="164" fontId="25" fillId="0" borderId="0" xfId="1" applyNumberFormat="1" applyFont="1" applyAlignment="1" applyProtection="1">
      <alignment horizontal="right"/>
      <protection hidden="1"/>
    </xf>
    <xf numFmtId="165" fontId="5" fillId="0" borderId="0" xfId="1" applyNumberFormat="1" applyFont="1" applyProtection="1">
      <protection hidden="1"/>
    </xf>
    <xf numFmtId="164" fontId="4" fillId="7" borderId="2" xfId="1" applyNumberFormat="1" applyFont="1" applyFill="1" applyBorder="1" applyAlignment="1" applyProtection="1">
      <alignment horizontal="right"/>
      <protection hidden="1"/>
    </xf>
    <xf numFmtId="4" fontId="4" fillId="0" borderId="4" xfId="1" applyNumberFormat="1" applyFont="1" applyBorder="1" applyAlignment="1" applyProtection="1">
      <alignment vertical="center"/>
      <protection hidden="1"/>
    </xf>
    <xf numFmtId="4" fontId="21" fillId="9" borderId="4" xfId="1" applyNumberFormat="1" applyFont="1" applyFill="1" applyBorder="1" applyAlignment="1" applyProtection="1">
      <alignment vertical="center"/>
      <protection hidden="1"/>
    </xf>
    <xf numFmtId="4" fontId="4" fillId="9" borderId="4" xfId="1" applyNumberFormat="1" applyFont="1" applyFill="1" applyBorder="1" applyAlignment="1" applyProtection="1">
      <alignment vertical="center"/>
      <protection hidden="1"/>
    </xf>
    <xf numFmtId="0" fontId="22" fillId="0" borderId="8" xfId="1" applyFont="1" applyBorder="1" applyAlignment="1">
      <alignment horizontal="left" vertical="top" wrapText="1"/>
    </xf>
    <xf numFmtId="164" fontId="26" fillId="0" borderId="0" xfId="1" applyNumberFormat="1" applyFont="1" applyAlignment="1" applyProtection="1">
      <alignment horizontal="right" vertical="center"/>
      <protection hidden="1"/>
    </xf>
    <xf numFmtId="4" fontId="21" fillId="0" borderId="0" xfId="1" applyNumberFormat="1" applyFont="1"/>
    <xf numFmtId="164" fontId="24" fillId="0" borderId="0" xfId="1" applyNumberFormat="1" applyFont="1" applyAlignment="1" applyProtection="1">
      <alignment horizontal="right" vertical="center"/>
      <protection hidden="1"/>
    </xf>
    <xf numFmtId="4" fontId="7" fillId="0" borderId="0" xfId="1" applyNumberFormat="1" applyFont="1"/>
    <xf numFmtId="0" fontId="3" fillId="3" borderId="1" xfId="1" applyFont="1" applyFill="1" applyBorder="1" applyAlignment="1" applyProtection="1">
      <alignment horizontal="left" vertical="top" wrapText="1"/>
      <protection hidden="1"/>
    </xf>
    <xf numFmtId="164" fontId="4" fillId="2" borderId="1" xfId="1" applyNumberFormat="1" applyFont="1" applyFill="1" applyBorder="1" applyAlignment="1" applyProtection="1">
      <alignment horizontal="right"/>
      <protection hidden="1"/>
    </xf>
    <xf numFmtId="164" fontId="3" fillId="12" borderId="2" xfId="1" applyNumberFormat="1" applyFont="1" applyFill="1" applyBorder="1" applyAlignment="1" applyProtection="1">
      <alignment horizontal="right"/>
      <protection hidden="1"/>
    </xf>
    <xf numFmtId="164" fontId="4" fillId="12" borderId="2" xfId="1" applyNumberFormat="1" applyFont="1" applyFill="1" applyBorder="1" applyAlignment="1" applyProtection="1">
      <alignment horizontal="right"/>
      <protection hidden="1"/>
    </xf>
    <xf numFmtId="4" fontId="29" fillId="0" borderId="0" xfId="1" applyNumberFormat="1" applyFont="1"/>
    <xf numFmtId="165" fontId="29" fillId="0" borderId="0" xfId="1" applyNumberFormat="1" applyFont="1"/>
    <xf numFmtId="164" fontId="23" fillId="0" borderId="1" xfId="1" applyNumberFormat="1" applyFont="1" applyBorder="1" applyAlignment="1" applyProtection="1">
      <alignment horizontal="right"/>
      <protection hidden="1"/>
    </xf>
    <xf numFmtId="0" fontId="5" fillId="0" borderId="1" xfId="1" applyFont="1" applyBorder="1" applyAlignment="1" applyProtection="1">
      <alignment horizontal="center" vertical="center"/>
      <protection hidden="1"/>
    </xf>
    <xf numFmtId="164" fontId="7" fillId="3" borderId="1" xfId="1" applyNumberFormat="1" applyFont="1" applyFill="1" applyBorder="1" applyAlignment="1" applyProtection="1">
      <alignment horizontal="right"/>
      <protection hidden="1"/>
    </xf>
    <xf numFmtId="164" fontId="3" fillId="6" borderId="1" xfId="1" applyNumberFormat="1" applyFont="1" applyFill="1" applyBorder="1" applyAlignment="1" applyProtection="1">
      <alignment horizontal="right"/>
      <protection hidden="1"/>
    </xf>
    <xf numFmtId="165" fontId="21" fillId="3" borderId="4" xfId="1" applyNumberFormat="1" applyFont="1" applyFill="1" applyBorder="1" applyAlignment="1" applyProtection="1">
      <alignment vertical="center"/>
      <protection hidden="1"/>
    </xf>
    <xf numFmtId="0" fontId="21" fillId="3" borderId="4" xfId="1" applyFont="1" applyFill="1" applyBorder="1" applyAlignment="1" applyProtection="1">
      <alignment vertical="center"/>
      <protection hidden="1"/>
    </xf>
    <xf numFmtId="165" fontId="7" fillId="3" borderId="4" xfId="1" applyNumberFormat="1" applyFont="1" applyFill="1" applyBorder="1" applyAlignment="1" applyProtection="1">
      <alignment vertical="center"/>
      <protection hidden="1"/>
    </xf>
    <xf numFmtId="164" fontId="3" fillId="13" borderId="2" xfId="1" applyNumberFormat="1" applyFont="1" applyFill="1" applyBorder="1" applyAlignment="1" applyProtection="1">
      <alignment horizontal="right"/>
      <protection hidden="1"/>
    </xf>
    <xf numFmtId="164" fontId="3" fillId="13" borderId="1" xfId="1" applyNumberFormat="1" applyFont="1" applyFill="1" applyBorder="1" applyAlignment="1" applyProtection="1">
      <alignment horizontal="right"/>
      <protection hidden="1"/>
    </xf>
    <xf numFmtId="164" fontId="3" fillId="2" borderId="2" xfId="1" applyNumberFormat="1" applyFont="1" applyFill="1" applyBorder="1" applyAlignment="1" applyProtection="1">
      <alignment horizontal="right"/>
      <protection hidden="1"/>
    </xf>
    <xf numFmtId="164" fontId="3" fillId="2" borderId="3" xfId="1" applyNumberFormat="1" applyFont="1" applyFill="1" applyBorder="1" applyAlignment="1" applyProtection="1">
      <alignment horizontal="right"/>
      <protection hidden="1"/>
    </xf>
    <xf numFmtId="164" fontId="3" fillId="2" borderId="1" xfId="1" applyNumberFormat="1" applyFont="1" applyFill="1" applyBorder="1" applyAlignment="1" applyProtection="1">
      <alignment horizontal="right"/>
      <protection hidden="1"/>
    </xf>
    <xf numFmtId="164" fontId="7" fillId="2" borderId="1" xfId="1" applyNumberFormat="1" applyFont="1" applyFill="1" applyBorder="1" applyAlignment="1" applyProtection="1">
      <alignment horizontal="right"/>
      <protection hidden="1"/>
    </xf>
    <xf numFmtId="164" fontId="4" fillId="10" borderId="1" xfId="1" applyNumberFormat="1" applyFont="1" applyFill="1" applyBorder="1" applyAlignment="1" applyProtection="1">
      <alignment horizontal="right"/>
      <protection hidden="1"/>
    </xf>
    <xf numFmtId="164" fontId="4" fillId="8" borderId="1" xfId="1" applyNumberFormat="1" applyFont="1" applyFill="1" applyBorder="1" applyAlignment="1" applyProtection="1">
      <alignment horizontal="right"/>
      <protection hidden="1"/>
    </xf>
    <xf numFmtId="164" fontId="4" fillId="3" borderId="2" xfId="1" applyNumberFormat="1" applyFont="1" applyFill="1" applyBorder="1" applyAlignment="1" applyProtection="1">
      <alignment horizontal="right"/>
      <protection hidden="1"/>
    </xf>
    <xf numFmtId="0" fontId="22" fillId="0" borderId="0" xfId="1" applyFont="1" applyAlignment="1">
      <alignment horizontal="left" vertical="top" wrapText="1"/>
    </xf>
    <xf numFmtId="0" fontId="32" fillId="0" borderId="0" xfId="1" applyFont="1" applyAlignment="1">
      <alignment vertical="top" wrapText="1"/>
    </xf>
    <xf numFmtId="0" fontId="32" fillId="0" borderId="8" xfId="1" applyFont="1" applyBorder="1" applyAlignment="1">
      <alignment horizontal="left" vertical="top" wrapText="1"/>
    </xf>
    <xf numFmtId="0" fontId="31" fillId="0" borderId="0" xfId="1" applyFont="1" applyAlignment="1">
      <alignment horizontal="left" vertical="top" wrapText="1"/>
    </xf>
    <xf numFmtId="164" fontId="3" fillId="3" borderId="0" xfId="1" applyNumberFormat="1" applyFont="1" applyFill="1" applyAlignment="1" applyProtection="1">
      <alignment horizontal="right"/>
      <protection hidden="1"/>
    </xf>
    <xf numFmtId="164" fontId="23" fillId="3" borderId="0" xfId="1" applyNumberFormat="1" applyFont="1" applyFill="1" applyAlignment="1" applyProtection="1">
      <alignment horizontal="right"/>
      <protection hidden="1"/>
    </xf>
    <xf numFmtId="0" fontId="4" fillId="3" borderId="0" xfId="1" applyFont="1" applyFill="1" applyAlignment="1" applyProtection="1">
      <alignment wrapText="1"/>
      <protection hidden="1"/>
    </xf>
    <xf numFmtId="164" fontId="4" fillId="3" borderId="0" xfId="1" applyNumberFormat="1" applyFont="1" applyFill="1" applyAlignment="1" applyProtection="1">
      <alignment horizontal="right"/>
      <protection hidden="1"/>
    </xf>
    <xf numFmtId="0" fontId="3" fillId="0" borderId="1" xfId="1" applyFont="1" applyBorder="1" applyAlignment="1" applyProtection="1">
      <alignment horizontal="left" vertical="top" wrapText="1"/>
      <protection hidden="1"/>
    </xf>
    <xf numFmtId="0" fontId="4" fillId="0" borderId="1" xfId="1" applyFont="1" applyBorder="1" applyAlignment="1" applyProtection="1">
      <alignment horizontal="left" vertical="top" wrapText="1"/>
      <protection hidden="1"/>
    </xf>
    <xf numFmtId="4" fontId="5" fillId="0" borderId="0" xfId="1" applyNumberFormat="1" applyFont="1" applyAlignment="1">
      <alignment horizontal="center"/>
    </xf>
    <xf numFmtId="0" fontId="3" fillId="0" borderId="7" xfId="8" applyFont="1" applyBorder="1" applyAlignment="1" applyProtection="1">
      <alignment horizontal="left" vertical="top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0" fontId="4" fillId="0" borderId="2" xfId="1" applyFont="1" applyBorder="1" applyAlignment="1" applyProtection="1">
      <alignment horizontal="center" vertical="center" wrapText="1"/>
      <protection hidden="1"/>
    </xf>
    <xf numFmtId="0" fontId="4" fillId="0" borderId="3" xfId="1" applyFont="1" applyBorder="1" applyAlignment="1" applyProtection="1">
      <alignment horizontal="center" vertical="center" wrapText="1"/>
      <protection hidden="1"/>
    </xf>
    <xf numFmtId="0" fontId="3" fillId="0" borderId="2" xfId="1" applyFont="1" applyBorder="1" applyAlignment="1" applyProtection="1">
      <alignment horizontal="left" vertical="top" wrapText="1"/>
      <protection hidden="1"/>
    </xf>
    <xf numFmtId="0" fontId="3" fillId="0" borderId="3" xfId="1" applyFont="1" applyBorder="1" applyAlignment="1" applyProtection="1">
      <alignment horizontal="left" vertical="top" wrapText="1"/>
      <protection hidden="1"/>
    </xf>
    <xf numFmtId="0" fontId="4" fillId="3" borderId="1" xfId="1" applyFont="1" applyFill="1" applyBorder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alignment horizontal="center" vertical="center"/>
      <protection hidden="1"/>
    </xf>
    <xf numFmtId="0" fontId="4" fillId="3" borderId="1" xfId="1" applyFont="1" applyFill="1" applyBorder="1" applyAlignment="1" applyProtection="1">
      <alignment horizontal="center" vertical="center"/>
      <protection hidden="1"/>
    </xf>
    <xf numFmtId="0" fontId="4" fillId="9" borderId="2" xfId="1" applyFont="1" applyFill="1" applyBorder="1" applyAlignment="1" applyProtection="1">
      <alignment horizontal="center" vertical="center" wrapText="1"/>
      <protection hidden="1"/>
    </xf>
    <xf numFmtId="0" fontId="4" fillId="9" borderId="3" xfId="1" applyFont="1" applyFill="1" applyBorder="1" applyAlignment="1" applyProtection="1">
      <alignment horizontal="center" vertical="center" wrapText="1"/>
      <protection hidden="1"/>
    </xf>
    <xf numFmtId="0" fontId="4" fillId="7" borderId="1" xfId="1" applyFont="1" applyFill="1" applyBorder="1" applyAlignment="1" applyProtection="1">
      <alignment horizontal="center" vertical="center" wrapText="1"/>
      <protection hidden="1"/>
    </xf>
    <xf numFmtId="0" fontId="4" fillId="6" borderId="1" xfId="1" applyFont="1" applyFill="1" applyBorder="1" applyAlignment="1" applyProtection="1">
      <alignment horizontal="center" vertical="center" wrapText="1"/>
      <protection hidden="1"/>
    </xf>
    <xf numFmtId="0" fontId="3" fillId="7" borderId="2" xfId="1" applyFont="1" applyFill="1" applyBorder="1" applyAlignment="1" applyProtection="1">
      <alignment horizontal="center" vertical="center" wrapText="1"/>
      <protection hidden="1"/>
    </xf>
    <xf numFmtId="0" fontId="3" fillId="7" borderId="3" xfId="1" applyFont="1" applyFill="1" applyBorder="1" applyAlignment="1" applyProtection="1">
      <alignment horizontal="center" vertical="center" wrapText="1"/>
      <protection hidden="1"/>
    </xf>
    <xf numFmtId="0" fontId="4" fillId="12" borderId="2" xfId="1" applyFont="1" applyFill="1" applyBorder="1" applyAlignment="1" applyProtection="1">
      <alignment horizontal="center" vertical="center" wrapText="1"/>
      <protection hidden="1"/>
    </xf>
    <xf numFmtId="0" fontId="4" fillId="12" borderId="3" xfId="1" applyFont="1" applyFill="1" applyBorder="1" applyAlignment="1" applyProtection="1">
      <alignment horizontal="center" vertical="center" wrapText="1"/>
      <protection hidden="1"/>
    </xf>
    <xf numFmtId="0" fontId="4" fillId="3" borderId="9" xfId="1" applyFont="1" applyFill="1" applyBorder="1" applyAlignment="1" applyProtection="1">
      <alignment horizontal="center" vertical="center" wrapText="1"/>
      <protection hidden="1"/>
    </xf>
    <xf numFmtId="0" fontId="4" fillId="3" borderId="10" xfId="1" applyFont="1" applyFill="1" applyBorder="1" applyAlignment="1" applyProtection="1">
      <alignment horizontal="center" vertical="center" wrapText="1"/>
      <protection hidden="1"/>
    </xf>
    <xf numFmtId="0" fontId="4" fillId="3" borderId="11" xfId="1" applyFont="1" applyFill="1" applyBorder="1" applyAlignment="1" applyProtection="1">
      <alignment horizontal="center" vertical="center" wrapText="1"/>
      <protection hidden="1"/>
    </xf>
    <xf numFmtId="0" fontId="4" fillId="3" borderId="12" xfId="1" applyFont="1" applyFill="1" applyBorder="1" applyAlignment="1" applyProtection="1">
      <alignment horizontal="center" vertical="center" wrapText="1"/>
      <protection hidden="1"/>
    </xf>
  </cellXfs>
  <cellStyles count="28">
    <cellStyle name="Обычный" xfId="0" builtinId="0"/>
    <cellStyle name="Обычный 10" xfId="18"/>
    <cellStyle name="Обычный 11" xfId="19"/>
    <cellStyle name="Обычный 12" xfId="20"/>
    <cellStyle name="Обычный 13" xfId="21"/>
    <cellStyle name="Обычный 14" xfId="22"/>
    <cellStyle name="Обычный 15" xfId="23"/>
    <cellStyle name="Обычный 16" xfId="24"/>
    <cellStyle name="Обычный 17" xfId="25"/>
    <cellStyle name="Обычный 18" xfId="26"/>
    <cellStyle name="Обычный 19" xfId="27"/>
    <cellStyle name="Обычный 2" xfId="1"/>
    <cellStyle name="Обычный 2 2" xfId="3"/>
    <cellStyle name="Обычный 2 2 2" xfId="11"/>
    <cellStyle name="Обычный 3" xfId="2"/>
    <cellStyle name="Обычный 3 2" xfId="10"/>
    <cellStyle name="Обычный 4" xfId="4"/>
    <cellStyle name="Обычный 4 2" xfId="12"/>
    <cellStyle name="Обычный 5" xfId="5"/>
    <cellStyle name="Обычный 5 2" xfId="13"/>
    <cellStyle name="Обычный 6" xfId="6"/>
    <cellStyle name="Обычный 6 2" xfId="14"/>
    <cellStyle name="Обычный 7" xfId="7"/>
    <cellStyle name="Обычный 7 2" xfId="15"/>
    <cellStyle name="Обычный 8" xfId="8"/>
    <cellStyle name="Обычный 8 2" xfId="16"/>
    <cellStyle name="Обычный 9" xfId="9"/>
    <cellStyle name="Обычный 9 2" xfId="17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2"/>
  <sheetViews>
    <sheetView showGridLines="0" tabSelected="1" view="pageBreakPreview" zoomScale="68" zoomScaleNormal="68" zoomScaleSheetLayoutView="68" workbookViewId="0">
      <pane xSplit="11" ySplit="6" topLeftCell="L61" activePane="bottomRight" state="frozen"/>
      <selection pane="topRight" activeCell="U1" sqref="U1"/>
      <selection pane="bottomLeft" activeCell="A7" sqref="A7"/>
      <selection pane="bottomRight" activeCell="B55" sqref="B55:I55"/>
    </sheetView>
  </sheetViews>
  <sheetFormatPr defaultColWidth="9.140625" defaultRowHeight="12.75" x14ac:dyDescent="0.2"/>
  <cols>
    <col min="1" max="1" width="0.42578125" style="1" customWidth="1"/>
    <col min="2" max="8" width="9.140625" style="1" hidden="1" customWidth="1"/>
    <col min="9" max="9" width="66.28515625" style="1" customWidth="1"/>
    <col min="10" max="10" width="27.140625" style="1" hidden="1" customWidth="1"/>
    <col min="11" max="11" width="31.42578125" style="1" hidden="1" customWidth="1"/>
    <col min="12" max="12" width="26.28515625" style="1" customWidth="1"/>
    <col min="13" max="13" width="26.7109375" style="1" hidden="1" customWidth="1"/>
    <col min="14" max="14" width="26.5703125" style="1" hidden="1" customWidth="1"/>
    <col min="15" max="15" width="27" style="1" customWidth="1"/>
    <col min="16" max="16" width="27.85546875" style="1" hidden="1" customWidth="1"/>
    <col min="17" max="17" width="24.140625" style="1" customWidth="1"/>
    <col min="18" max="18" width="22.7109375" style="1" hidden="1" customWidth="1"/>
    <col min="19" max="19" width="22.140625" style="1" hidden="1" customWidth="1"/>
    <col min="20" max="20" width="22" style="1" hidden="1" customWidth="1"/>
    <col min="21" max="21" width="26.7109375" style="1" hidden="1" customWidth="1"/>
    <col min="22" max="22" width="26.85546875" style="1" customWidth="1"/>
    <col min="23" max="23" width="21.42578125" style="1" hidden="1" customWidth="1"/>
    <col min="24" max="24" width="22.85546875" style="1" customWidth="1"/>
    <col min="25" max="25" width="14" style="1" customWidth="1"/>
    <col min="26" max="26" width="20.140625" style="1" hidden="1" customWidth="1"/>
    <col min="27" max="27" width="15.42578125" style="1" hidden="1" customWidth="1"/>
    <col min="28" max="28" width="20.7109375" style="1" customWidth="1"/>
    <col min="29" max="29" width="18.5703125" style="1" customWidth="1"/>
    <col min="30" max="30" width="22.5703125" style="1" hidden="1" customWidth="1"/>
    <col min="31" max="31" width="25" style="1" customWidth="1"/>
    <col min="32" max="32" width="22.42578125" style="1" customWidth="1"/>
    <col min="33" max="235" width="9.140625" style="1" customWidth="1"/>
    <col min="236" max="16384" width="9.140625" style="1"/>
  </cols>
  <sheetData>
    <row r="1" spans="1:31" ht="28.5" customHeight="1" x14ac:dyDescent="0.2">
      <c r="A1" s="3"/>
      <c r="B1" s="2"/>
      <c r="C1" s="2"/>
      <c r="D1" s="2"/>
      <c r="E1" s="2"/>
      <c r="F1" s="2"/>
      <c r="G1" s="2"/>
      <c r="H1" s="2"/>
      <c r="I1" s="126" t="s">
        <v>93</v>
      </c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2"/>
      <c r="Z1" s="2"/>
      <c r="AA1" s="2"/>
      <c r="AB1" s="2"/>
      <c r="AC1" s="2"/>
    </row>
    <row r="2" spans="1:31" s="5" customFormat="1" ht="20.25" customHeight="1" x14ac:dyDescent="0.3">
      <c r="A2" s="7"/>
      <c r="B2" s="7"/>
      <c r="C2" s="7"/>
      <c r="D2" s="7"/>
      <c r="E2" s="7"/>
      <c r="F2" s="7"/>
      <c r="G2" s="7"/>
      <c r="H2" s="7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29"/>
      <c r="Z2" s="29"/>
      <c r="AA2" s="29"/>
      <c r="AB2" s="29"/>
      <c r="AC2" s="29"/>
    </row>
    <row r="3" spans="1:31" s="59" customFormat="1" ht="19.5" customHeight="1" x14ac:dyDescent="0.3">
      <c r="A3" s="57"/>
      <c r="B3" s="57"/>
      <c r="C3" s="62"/>
      <c r="D3" s="62"/>
      <c r="E3" s="62"/>
      <c r="F3" s="62"/>
      <c r="G3" s="62"/>
      <c r="H3" s="62"/>
      <c r="I3" s="62"/>
      <c r="J3" s="79"/>
      <c r="K3" s="80">
        <f>M9/J9%</f>
        <v>66.44327439000547</v>
      </c>
      <c r="L3" s="78"/>
      <c r="M3" s="80">
        <v>0</v>
      </c>
      <c r="N3" s="80"/>
      <c r="O3" s="61"/>
      <c r="P3" s="79">
        <f>L3-O61</f>
        <v>-1653158029.874342</v>
      </c>
      <c r="Q3" s="96"/>
      <c r="R3" s="96">
        <v>150135287.44999999</v>
      </c>
      <c r="S3" s="97"/>
      <c r="T3" s="74">
        <v>2364239.88</v>
      </c>
      <c r="U3" s="74"/>
      <c r="V3" s="98"/>
      <c r="W3" s="62"/>
      <c r="X3" s="76"/>
      <c r="Y3" s="62"/>
      <c r="Z3" s="62"/>
      <c r="AA3" s="62"/>
      <c r="AB3" s="62"/>
      <c r="AC3" s="58" t="s">
        <v>45</v>
      </c>
    </row>
    <row r="4" spans="1:31" s="5" customFormat="1" ht="74.25" customHeight="1" x14ac:dyDescent="0.3">
      <c r="A4" s="4"/>
      <c r="B4" s="8"/>
      <c r="C4" s="8"/>
      <c r="D4" s="8"/>
      <c r="E4" s="8"/>
      <c r="F4" s="8"/>
      <c r="G4" s="8"/>
      <c r="H4" s="8"/>
      <c r="I4" s="127" t="s">
        <v>32</v>
      </c>
      <c r="J4" s="130" t="s">
        <v>74</v>
      </c>
      <c r="K4" s="131" t="s">
        <v>75</v>
      </c>
      <c r="L4" s="125" t="s">
        <v>77</v>
      </c>
      <c r="M4" s="131" t="s">
        <v>94</v>
      </c>
      <c r="N4" s="132" t="s">
        <v>76</v>
      </c>
      <c r="O4" s="125" t="s">
        <v>95</v>
      </c>
      <c r="P4" s="134" t="s">
        <v>79</v>
      </c>
      <c r="Q4" s="136" t="s">
        <v>78</v>
      </c>
      <c r="R4" s="137"/>
      <c r="S4" s="120" t="s">
        <v>43</v>
      </c>
      <c r="T4" s="120"/>
      <c r="U4" s="128" t="s">
        <v>98</v>
      </c>
      <c r="V4" s="125" t="s">
        <v>99</v>
      </c>
      <c r="W4" s="121" t="s">
        <v>39</v>
      </c>
      <c r="X4" s="120" t="s">
        <v>81</v>
      </c>
      <c r="Y4" s="120"/>
      <c r="Z4" s="120" t="s">
        <v>92</v>
      </c>
      <c r="AA4" s="120"/>
      <c r="AB4" s="120" t="s">
        <v>100</v>
      </c>
      <c r="AC4" s="120"/>
      <c r="AD4" s="25" t="s">
        <v>73</v>
      </c>
    </row>
    <row r="5" spans="1:31" s="5" customFormat="1" ht="70.5" customHeight="1" x14ac:dyDescent="0.3">
      <c r="A5" s="4"/>
      <c r="B5" s="32" t="s">
        <v>31</v>
      </c>
      <c r="C5" s="32" t="s">
        <v>30</v>
      </c>
      <c r="D5" s="32" t="s">
        <v>29</v>
      </c>
      <c r="E5" s="32" t="s">
        <v>28</v>
      </c>
      <c r="F5" s="32" t="s">
        <v>27</v>
      </c>
      <c r="G5" s="32" t="s">
        <v>26</v>
      </c>
      <c r="H5" s="32" t="s">
        <v>25</v>
      </c>
      <c r="I5" s="127"/>
      <c r="J5" s="130"/>
      <c r="K5" s="131"/>
      <c r="L5" s="125"/>
      <c r="M5" s="131"/>
      <c r="N5" s="133"/>
      <c r="O5" s="125"/>
      <c r="P5" s="135"/>
      <c r="Q5" s="138"/>
      <c r="R5" s="139"/>
      <c r="S5" s="60" t="s">
        <v>96</v>
      </c>
      <c r="T5" s="60" t="s">
        <v>97</v>
      </c>
      <c r="U5" s="129"/>
      <c r="V5" s="125"/>
      <c r="W5" s="122"/>
      <c r="X5" s="32" t="s">
        <v>34</v>
      </c>
      <c r="Y5" s="32" t="s">
        <v>35</v>
      </c>
      <c r="Z5" s="32" t="s">
        <v>34</v>
      </c>
      <c r="AA5" s="32" t="s">
        <v>35</v>
      </c>
      <c r="AB5" s="32" t="s">
        <v>34</v>
      </c>
      <c r="AC5" s="32" t="s">
        <v>35</v>
      </c>
      <c r="AD5" s="32" t="s">
        <v>34</v>
      </c>
    </row>
    <row r="6" spans="1:31" s="5" customFormat="1" ht="18.75" x14ac:dyDescent="0.3">
      <c r="A6" s="4"/>
      <c r="B6" s="32"/>
      <c r="C6" s="32"/>
      <c r="D6" s="32"/>
      <c r="E6" s="32"/>
      <c r="F6" s="32"/>
      <c r="G6" s="32"/>
      <c r="H6" s="32"/>
      <c r="I6" s="22"/>
      <c r="J6" s="22"/>
      <c r="K6" s="22"/>
      <c r="L6" s="22"/>
      <c r="M6" s="22"/>
      <c r="N6" s="22"/>
      <c r="O6" s="22"/>
      <c r="P6" s="22"/>
      <c r="Q6" s="22"/>
      <c r="R6" s="93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4">
        <v>19</v>
      </c>
    </row>
    <row r="7" spans="1:31" s="10" customFormat="1" ht="40.5" customHeight="1" x14ac:dyDescent="0.3">
      <c r="A7" s="9"/>
      <c r="B7" s="123" t="s">
        <v>8</v>
      </c>
      <c r="C7" s="123"/>
      <c r="D7" s="123"/>
      <c r="E7" s="123"/>
      <c r="F7" s="123"/>
      <c r="G7" s="123"/>
      <c r="H7" s="123"/>
      <c r="I7" s="123"/>
      <c r="J7" s="35">
        <f t="shared" ref="J7:K7" si="0">J9+J23</f>
        <v>666588611.95000005</v>
      </c>
      <c r="K7" s="101">
        <f t="shared" si="0"/>
        <v>728712068.21000004</v>
      </c>
      <c r="L7" s="35">
        <f>L10+L11+L14+L15+L16+L17+L18+L21+L24+L34+L35+L43+L46+L48+L13+L22</f>
        <v>723059674.68381572</v>
      </c>
      <c r="M7" s="101">
        <f t="shared" ref="M7" si="1">M9+M23</f>
        <v>448659413.77999997</v>
      </c>
      <c r="N7" s="99">
        <f>M7/J7%</f>
        <v>67.30679248592584</v>
      </c>
      <c r="O7" s="35">
        <f>O9+O23</f>
        <v>442197553.55434209</v>
      </c>
      <c r="P7" s="35">
        <f t="shared" ref="P7:Q7" si="2">P9+P23</f>
        <v>790470748.13</v>
      </c>
      <c r="Q7" s="35">
        <f t="shared" si="2"/>
        <v>791160408.28999996</v>
      </c>
      <c r="R7" s="35">
        <f t="shared" ref="R7:S7" si="3">R9+R23</f>
        <v>553594518.77999997</v>
      </c>
      <c r="S7" s="35">
        <f t="shared" si="3"/>
        <v>12033207.059999999</v>
      </c>
      <c r="T7" s="35">
        <f t="shared" ref="T7:V7" si="4">T9+T23</f>
        <v>9774217.1600000001</v>
      </c>
      <c r="U7" s="35">
        <v>463914044.69000006</v>
      </c>
      <c r="V7" s="35">
        <f t="shared" si="4"/>
        <v>473688261.85000008</v>
      </c>
      <c r="W7" s="35">
        <f t="shared" ref="W7:W21" si="5">T7-S7</f>
        <v>-2258989.8999999985</v>
      </c>
      <c r="X7" s="35">
        <f t="shared" ref="X7:X38" si="6">V7-Q7</f>
        <v>-317472146.43999988</v>
      </c>
      <c r="Y7" s="35">
        <f t="shared" ref="Y7:Y13" si="7">V7/Q7%</f>
        <v>59.872594342002209</v>
      </c>
      <c r="Z7" s="35">
        <f t="shared" ref="Z7:Z38" si="8">V7-R7</f>
        <v>-79906256.929999888</v>
      </c>
      <c r="AA7" s="35">
        <f t="shared" ref="AA7:AA13" si="9">V7/R7*100</f>
        <v>85.565923393516314</v>
      </c>
      <c r="AB7" s="35">
        <f t="shared" ref="AB7:AB38" si="10">V7-O7</f>
        <v>31490708.295657992</v>
      </c>
      <c r="AC7" s="35">
        <f>V7/O7%</f>
        <v>107.12141169541501</v>
      </c>
      <c r="AD7" s="36" t="e">
        <f>AD9+AD23</f>
        <v>#REF!</v>
      </c>
    </row>
    <row r="8" spans="1:31" s="10" customFormat="1" ht="99" hidden="1" customHeight="1" x14ac:dyDescent="0.3">
      <c r="A8" s="9"/>
      <c r="B8" s="43"/>
      <c r="C8" s="43"/>
      <c r="D8" s="43"/>
      <c r="E8" s="43"/>
      <c r="F8" s="43"/>
      <c r="G8" s="43"/>
      <c r="H8" s="43"/>
      <c r="I8" s="44" t="s">
        <v>47</v>
      </c>
      <c r="J8" s="41">
        <f>J7-J35-J51</f>
        <v>628915421.09000003</v>
      </c>
      <c r="K8" s="41">
        <f>K7-K35-K51+287851.93-9555.42</f>
        <v>690120725.56000006</v>
      </c>
      <c r="L8" s="41">
        <f>L7-L35-L51+287851.93-9555.42</f>
        <v>684468332.03381574</v>
      </c>
      <c r="M8" s="41">
        <f>M7-M35-M51</f>
        <v>423931176.03999996</v>
      </c>
      <c r="N8" s="99">
        <f>M8/J8%</f>
        <v>67.406707138022924</v>
      </c>
      <c r="O8" s="41">
        <f t="shared" ref="O8:T8" si="11">O7-O35-O51</f>
        <v>417521591.81434208</v>
      </c>
      <c r="P8" s="41">
        <f t="shared" si="11"/>
        <v>746539015.22000003</v>
      </c>
      <c r="Q8" s="41">
        <f t="shared" si="11"/>
        <v>746539015.23000002</v>
      </c>
      <c r="R8" s="41">
        <f t="shared" si="11"/>
        <v>519751106.64999992</v>
      </c>
      <c r="S8" s="41">
        <f t="shared" ref="S8" si="12">S7-S35-S51</f>
        <v>9174929.2299999986</v>
      </c>
      <c r="T8" s="41">
        <f t="shared" si="11"/>
        <v>9032962.2400000002</v>
      </c>
      <c r="U8" s="41">
        <v>432667568.88000005</v>
      </c>
      <c r="V8" s="41">
        <f>V7-V35-V51</f>
        <v>441700531.12000006</v>
      </c>
      <c r="W8" s="40">
        <f t="shared" si="5"/>
        <v>-141966.98999999836</v>
      </c>
      <c r="X8" s="40">
        <f t="shared" si="6"/>
        <v>-304838484.10999995</v>
      </c>
      <c r="Y8" s="40">
        <f t="shared" si="7"/>
        <v>59.166436329374861</v>
      </c>
      <c r="Z8" s="49">
        <f t="shared" si="8"/>
        <v>-78050575.529999852</v>
      </c>
      <c r="AA8" s="49">
        <f t="shared" si="9"/>
        <v>84.983086225045966</v>
      </c>
      <c r="AB8" s="40">
        <f t="shared" si="10"/>
        <v>24178939.305657983</v>
      </c>
      <c r="AC8" s="40">
        <f>V8/O8%</f>
        <v>105.79106321198581</v>
      </c>
      <c r="AD8" s="41" t="e">
        <f>AD7-AD35-AD51</f>
        <v>#REF!</v>
      </c>
    </row>
    <row r="9" spans="1:31" s="10" customFormat="1" ht="30" hidden="1" customHeight="1" x14ac:dyDescent="0.3">
      <c r="A9" s="9"/>
      <c r="B9" s="43"/>
      <c r="C9" s="43"/>
      <c r="D9" s="43"/>
      <c r="E9" s="43"/>
      <c r="F9" s="43"/>
      <c r="G9" s="43"/>
      <c r="H9" s="43"/>
      <c r="I9" s="52" t="s">
        <v>49</v>
      </c>
      <c r="J9" s="53">
        <f t="shared" ref="J9:K9" si="13">J10+J11+J13+J14+J15+J16+J17+J18+J21+J22</f>
        <v>579111014.63999999</v>
      </c>
      <c r="K9" s="53">
        <f t="shared" si="13"/>
        <v>633524790.00999999</v>
      </c>
      <c r="L9" s="53">
        <f t="shared" ref="L9:M9" si="14">L10+L11+L13+L14+L15+L16+L17+L18+L21+L22</f>
        <v>627872396.48381579</v>
      </c>
      <c r="M9" s="53">
        <f t="shared" si="14"/>
        <v>384780320.47999996</v>
      </c>
      <c r="N9" s="55">
        <f t="shared" ref="N9:N61" si="15">M9/J9%</f>
        <v>66.44327439000547</v>
      </c>
      <c r="O9" s="53">
        <f>O10+O11+O13+O14+O15+O16+O17+O18+O21+O22</f>
        <v>380786992.94434208</v>
      </c>
      <c r="P9" s="53">
        <f>P10+P11+P12+P13+P14+P15+P16+P17+P18+P21+P22</f>
        <v>695697465.22000003</v>
      </c>
      <c r="Q9" s="53">
        <f>Q10+Q11+Q12+Q13+Q14+Q15+Q16+Q17+Q18+Q21+Q22</f>
        <v>695697465.23000002</v>
      </c>
      <c r="R9" s="53">
        <f>R10+R11+R12+R13+R14+R15+R16+R17+R18+R21+R22</f>
        <v>482659381.49000001</v>
      </c>
      <c r="S9" s="53">
        <f>S10+S11+S12+S13+S14+S15+S16+S17+S18+S21+S22</f>
        <v>8914781.0299999993</v>
      </c>
      <c r="T9" s="53">
        <f>T10+T11+T12+T13+T14+T15+T16+T17+T18+T21+T22</f>
        <v>8131997.9299999997</v>
      </c>
      <c r="U9" s="53">
        <v>395941091.29000008</v>
      </c>
      <c r="V9" s="53">
        <f>V10+V11+V12+V13+V14+V15+V16+V17+V18+V21+V22</f>
        <v>404073089.22000009</v>
      </c>
      <c r="W9" s="54">
        <f t="shared" si="5"/>
        <v>-782783.09999999963</v>
      </c>
      <c r="X9" s="54">
        <f t="shared" si="6"/>
        <v>-291624376.00999993</v>
      </c>
      <c r="Y9" s="54">
        <f t="shared" si="7"/>
        <v>58.081725091008074</v>
      </c>
      <c r="Z9" s="55">
        <f t="shared" si="8"/>
        <v>-78586292.269999921</v>
      </c>
      <c r="AA9" s="55">
        <f t="shared" si="9"/>
        <v>83.718063859569241</v>
      </c>
      <c r="AB9" s="54">
        <f t="shared" si="10"/>
        <v>23286096.275658011</v>
      </c>
      <c r="AC9" s="54">
        <f>V9/O9%</f>
        <v>106.1152551707725</v>
      </c>
      <c r="AD9" s="53">
        <f>AD10+AD11+AD13+AD14+AD15+AD16+AD17+AD18+AD21+AD22</f>
        <v>693501693.39999998</v>
      </c>
    </row>
    <row r="10" spans="1:31" s="10" customFormat="1" ht="30" hidden="1" customHeight="1" x14ac:dyDescent="0.3">
      <c r="A10" s="9"/>
      <c r="B10" s="124" t="s">
        <v>24</v>
      </c>
      <c r="C10" s="124"/>
      <c r="D10" s="124"/>
      <c r="E10" s="124"/>
      <c r="F10" s="124"/>
      <c r="G10" s="124"/>
      <c r="H10" s="124"/>
      <c r="I10" s="124"/>
      <c r="J10" s="37">
        <v>401049851.63999999</v>
      </c>
      <c r="K10" s="102">
        <v>429581907.99000001</v>
      </c>
      <c r="L10" s="38">
        <f>K10/53.2%*52.5%</f>
        <v>423929514.46381575</v>
      </c>
      <c r="M10" s="102">
        <v>266527355.31</v>
      </c>
      <c r="N10" s="99">
        <f t="shared" si="15"/>
        <v>66.457412768038296</v>
      </c>
      <c r="O10" s="38">
        <f>M10/53.2%*52.5%</f>
        <v>263020416.4243421</v>
      </c>
      <c r="P10" s="37">
        <v>502355975.22000003</v>
      </c>
      <c r="Q10" s="37">
        <v>486437775.22000003</v>
      </c>
      <c r="R10" s="37">
        <v>342580454.89999998</v>
      </c>
      <c r="S10" s="37">
        <v>4901723.08</v>
      </c>
      <c r="T10" s="37">
        <f>7176989.32+17393.28+3.13+1720.43+2965.78</f>
        <v>7199071.9400000004</v>
      </c>
      <c r="U10" s="37">
        <v>267142994.16</v>
      </c>
      <c r="V10" s="37">
        <f t="shared" ref="V10:V17" si="16">U10+T10</f>
        <v>274342066.10000002</v>
      </c>
      <c r="W10" s="37">
        <f t="shared" si="5"/>
        <v>2297348.8600000003</v>
      </c>
      <c r="X10" s="37">
        <f t="shared" si="6"/>
        <v>-212095709.12</v>
      </c>
      <c r="Y10" s="35">
        <f t="shared" si="7"/>
        <v>56.398182886993929</v>
      </c>
      <c r="Z10" s="35">
        <f t="shared" si="8"/>
        <v>-68238388.799999952</v>
      </c>
      <c r="AA10" s="35">
        <f t="shared" si="9"/>
        <v>80.081061886639475</v>
      </c>
      <c r="AB10" s="37">
        <f t="shared" si="10"/>
        <v>11321649.675657928</v>
      </c>
      <c r="AC10" s="35">
        <f>V10/O10%</f>
        <v>104.3044756105139</v>
      </c>
      <c r="AD10" s="39">
        <f>Q10</f>
        <v>486437775.22000003</v>
      </c>
      <c r="AE10" s="65"/>
    </row>
    <row r="11" spans="1:31" s="10" customFormat="1" ht="61.5" hidden="1" customHeight="1" x14ac:dyDescent="0.3">
      <c r="A11" s="9"/>
      <c r="B11" s="116" t="s">
        <v>23</v>
      </c>
      <c r="C11" s="116"/>
      <c r="D11" s="116"/>
      <c r="E11" s="116"/>
      <c r="F11" s="116"/>
      <c r="G11" s="116"/>
      <c r="H11" s="116"/>
      <c r="I11" s="116"/>
      <c r="J11" s="12">
        <v>35571140</v>
      </c>
      <c r="K11" s="103">
        <v>35939487.270000003</v>
      </c>
      <c r="L11" s="28">
        <f t="shared" ref="L11:L17" si="17">K11</f>
        <v>35939487.270000003</v>
      </c>
      <c r="M11" s="103">
        <v>23927145.199999999</v>
      </c>
      <c r="N11" s="99">
        <f t="shared" si="15"/>
        <v>67.265612516213977</v>
      </c>
      <c r="O11" s="40">
        <f>M11-M11+V11</f>
        <v>23450214.319999985</v>
      </c>
      <c r="P11" s="12">
        <v>37977490</v>
      </c>
      <c r="Q11" s="12">
        <v>37977490</v>
      </c>
      <c r="R11" s="12">
        <v>27243557.050000001</v>
      </c>
      <c r="S11" s="12">
        <v>3148042.38</v>
      </c>
      <c r="T11" s="12">
        <f>-0.02-26.52+0.03+26.5</f>
        <v>-9.9999999999980105E-3</v>
      </c>
      <c r="U11" s="12">
        <v>23450214.329999987</v>
      </c>
      <c r="V11" s="12">
        <f t="shared" si="16"/>
        <v>23450214.319999985</v>
      </c>
      <c r="W11" s="12">
        <f t="shared" si="5"/>
        <v>-3148042.3899999997</v>
      </c>
      <c r="X11" s="12">
        <f t="shared" si="6"/>
        <v>-14527275.680000015</v>
      </c>
      <c r="Y11" s="35">
        <f t="shared" si="7"/>
        <v>61.7476676841992</v>
      </c>
      <c r="Z11" s="35">
        <f t="shared" si="8"/>
        <v>-3793342.7300000153</v>
      </c>
      <c r="AA11" s="35">
        <f t="shared" si="9"/>
        <v>86.076184093589148</v>
      </c>
      <c r="AB11" s="12">
        <f t="shared" si="10"/>
        <v>0</v>
      </c>
      <c r="AC11" s="35">
        <f>V11/O11%</f>
        <v>100</v>
      </c>
      <c r="AD11" s="26">
        <v>35800000</v>
      </c>
    </row>
    <row r="12" spans="1:31" s="10" customFormat="1" ht="33" hidden="1" customHeight="1" x14ac:dyDescent="0.3">
      <c r="A12" s="9"/>
      <c r="B12" s="116" t="s">
        <v>80</v>
      </c>
      <c r="C12" s="116"/>
      <c r="D12" s="116"/>
      <c r="E12" s="116"/>
      <c r="F12" s="116"/>
      <c r="G12" s="116"/>
      <c r="H12" s="116"/>
      <c r="I12" s="116"/>
      <c r="J12" s="12">
        <v>0</v>
      </c>
      <c r="K12" s="103">
        <v>0</v>
      </c>
      <c r="L12" s="28">
        <f t="shared" si="17"/>
        <v>0</v>
      </c>
      <c r="M12" s="103">
        <v>0</v>
      </c>
      <c r="N12" s="99" t="e">
        <f t="shared" si="15"/>
        <v>#DIV/0!</v>
      </c>
      <c r="O12" s="28">
        <f>M12</f>
        <v>0</v>
      </c>
      <c r="P12" s="12">
        <v>23000</v>
      </c>
      <c r="Q12" s="12">
        <v>53200</v>
      </c>
      <c r="R12" s="12">
        <v>53200</v>
      </c>
      <c r="S12" s="12">
        <v>0</v>
      </c>
      <c r="T12" s="12">
        <v>0</v>
      </c>
      <c r="U12" s="12">
        <v>122736</v>
      </c>
      <c r="V12" s="12">
        <f t="shared" si="16"/>
        <v>122736</v>
      </c>
      <c r="W12" s="12">
        <f t="shared" si="5"/>
        <v>0</v>
      </c>
      <c r="X12" s="12">
        <f t="shared" si="6"/>
        <v>69536</v>
      </c>
      <c r="Y12" s="35">
        <f t="shared" si="7"/>
        <v>230.70676691729324</v>
      </c>
      <c r="Z12" s="35">
        <f t="shared" si="8"/>
        <v>69536</v>
      </c>
      <c r="AA12" s="35">
        <f t="shared" si="9"/>
        <v>230.70676691729321</v>
      </c>
      <c r="AB12" s="12">
        <f t="shared" si="10"/>
        <v>122736</v>
      </c>
      <c r="AC12" s="88">
        <v>0</v>
      </c>
      <c r="AD12" s="26"/>
    </row>
    <row r="13" spans="1:31" s="10" customFormat="1" ht="73.5" hidden="1" customHeight="1" x14ac:dyDescent="0.3">
      <c r="A13" s="9"/>
      <c r="B13" s="45"/>
      <c r="C13" s="45"/>
      <c r="D13" s="45"/>
      <c r="E13" s="45"/>
      <c r="F13" s="45"/>
      <c r="G13" s="45"/>
      <c r="H13" s="45"/>
      <c r="I13" s="45" t="s">
        <v>40</v>
      </c>
      <c r="J13" s="12">
        <v>36867000</v>
      </c>
      <c r="K13" s="103">
        <v>39134518.589999989</v>
      </c>
      <c r="L13" s="27">
        <f t="shared" si="17"/>
        <v>39134518.589999989</v>
      </c>
      <c r="M13" s="103">
        <v>30649321.780000001</v>
      </c>
      <c r="N13" s="99">
        <f t="shared" si="15"/>
        <v>83.134840860390057</v>
      </c>
      <c r="O13" s="28">
        <f>M13</f>
        <v>30649321.780000001</v>
      </c>
      <c r="P13" s="12">
        <v>38907000</v>
      </c>
      <c r="Q13" s="12">
        <v>38850000</v>
      </c>
      <c r="R13" s="12">
        <v>30457542.690000001</v>
      </c>
      <c r="S13" s="12">
        <v>214828.72</v>
      </c>
      <c r="T13" s="12">
        <f>115058.58+10348.19+11.31</f>
        <v>125418.08</v>
      </c>
      <c r="U13" s="12">
        <v>29422862.91</v>
      </c>
      <c r="V13" s="12">
        <f t="shared" si="16"/>
        <v>29548280.989999998</v>
      </c>
      <c r="W13" s="12">
        <f t="shared" si="5"/>
        <v>-89410.64</v>
      </c>
      <c r="X13" s="12">
        <f t="shared" si="6"/>
        <v>-9301719.0100000016</v>
      </c>
      <c r="Y13" s="35">
        <f t="shared" si="7"/>
        <v>76.057351325611322</v>
      </c>
      <c r="Z13" s="35">
        <f t="shared" si="8"/>
        <v>-909261.70000000298</v>
      </c>
      <c r="AA13" s="35">
        <f t="shared" si="9"/>
        <v>97.014658374595214</v>
      </c>
      <c r="AB13" s="12">
        <f t="shared" si="10"/>
        <v>-1101040.7900000028</v>
      </c>
      <c r="AC13" s="35">
        <f t="shared" ref="AC13:AC21" si="18">V13/O13%</f>
        <v>96.407617767521117</v>
      </c>
      <c r="AD13" s="26">
        <f>Q13</f>
        <v>38850000</v>
      </c>
      <c r="AE13" s="109" t="s">
        <v>87</v>
      </c>
    </row>
    <row r="14" spans="1:31" s="10" customFormat="1" ht="70.5" hidden="1" customHeight="1" x14ac:dyDescent="0.3">
      <c r="A14" s="9"/>
      <c r="B14" s="116" t="s">
        <v>22</v>
      </c>
      <c r="C14" s="116"/>
      <c r="D14" s="116"/>
      <c r="E14" s="116"/>
      <c r="F14" s="116"/>
      <c r="G14" s="116"/>
      <c r="H14" s="116"/>
      <c r="I14" s="116"/>
      <c r="J14" s="12">
        <v>0</v>
      </c>
      <c r="K14" s="103">
        <v>51572.41</v>
      </c>
      <c r="L14" s="12">
        <f t="shared" si="17"/>
        <v>51572.41</v>
      </c>
      <c r="M14" s="103">
        <v>28679</v>
      </c>
      <c r="N14" s="99" t="e">
        <f t="shared" si="15"/>
        <v>#DIV/0!</v>
      </c>
      <c r="O14" s="95">
        <f>M14-M14+V14</f>
        <v>19221.230000000003</v>
      </c>
      <c r="P14" s="12">
        <v>0</v>
      </c>
      <c r="Q14" s="12">
        <v>0</v>
      </c>
      <c r="R14" s="12">
        <v>0</v>
      </c>
      <c r="S14" s="12">
        <v>0</v>
      </c>
      <c r="T14" s="12">
        <f>2005.56</f>
        <v>2005.56</v>
      </c>
      <c r="U14" s="12">
        <v>17215.670000000002</v>
      </c>
      <c r="V14" s="12">
        <f t="shared" si="16"/>
        <v>19221.230000000003</v>
      </c>
      <c r="W14" s="12">
        <f t="shared" si="5"/>
        <v>2005.56</v>
      </c>
      <c r="X14" s="12">
        <f t="shared" si="6"/>
        <v>19221.230000000003</v>
      </c>
      <c r="Y14" s="88">
        <v>0</v>
      </c>
      <c r="Z14" s="35">
        <f t="shared" si="8"/>
        <v>19221.230000000003</v>
      </c>
      <c r="AA14" s="88">
        <v>0</v>
      </c>
      <c r="AB14" s="12">
        <f t="shared" si="10"/>
        <v>0</v>
      </c>
      <c r="AC14" s="35">
        <f t="shared" si="18"/>
        <v>100</v>
      </c>
      <c r="AD14" s="26">
        <f>V14</f>
        <v>19221.230000000003</v>
      </c>
      <c r="AE14" s="65"/>
    </row>
    <row r="15" spans="1:31" s="10" customFormat="1" ht="67.5" hidden="1" customHeight="1" x14ac:dyDescent="0.3">
      <c r="A15" s="9"/>
      <c r="B15" s="116" t="s">
        <v>21</v>
      </c>
      <c r="C15" s="116"/>
      <c r="D15" s="116"/>
      <c r="E15" s="116"/>
      <c r="F15" s="116"/>
      <c r="G15" s="116"/>
      <c r="H15" s="116"/>
      <c r="I15" s="116"/>
      <c r="J15" s="12">
        <v>7684271</v>
      </c>
      <c r="K15" s="103">
        <v>7836943.9400000004</v>
      </c>
      <c r="L15" s="12">
        <f t="shared" si="17"/>
        <v>7836943.9400000004</v>
      </c>
      <c r="M15" s="103">
        <v>7755025.2400000002</v>
      </c>
      <c r="N15" s="99">
        <f t="shared" si="15"/>
        <v>100.92076710985336</v>
      </c>
      <c r="O15" s="12">
        <f>M15</f>
        <v>7755025.2400000002</v>
      </c>
      <c r="P15" s="12">
        <v>8121000</v>
      </c>
      <c r="Q15" s="12">
        <v>26941000.010000002</v>
      </c>
      <c r="R15" s="12">
        <v>26941000.010000002</v>
      </c>
      <c r="S15" s="12">
        <v>-12193</v>
      </c>
      <c r="T15" s="12">
        <f>10473</f>
        <v>10473</v>
      </c>
      <c r="U15" s="12">
        <v>29475734.039999995</v>
      </c>
      <c r="V15" s="12">
        <f t="shared" si="16"/>
        <v>29486207.039999995</v>
      </c>
      <c r="W15" s="12">
        <f t="shared" si="5"/>
        <v>22666</v>
      </c>
      <c r="X15" s="12">
        <f t="shared" si="6"/>
        <v>2545207.0299999937</v>
      </c>
      <c r="Y15" s="35">
        <f t="shared" ref="Y15:Y21" si="19">V15/Q15%</f>
        <v>109.44733688079604</v>
      </c>
      <c r="Z15" s="35">
        <f t="shared" si="8"/>
        <v>2545207.0299999937</v>
      </c>
      <c r="AA15" s="35">
        <f t="shared" ref="AA15:AA21" si="20">V15/R15*100</f>
        <v>109.44733688079604</v>
      </c>
      <c r="AB15" s="12">
        <f t="shared" si="10"/>
        <v>21731181.799999997</v>
      </c>
      <c r="AC15" s="35">
        <f t="shared" si="18"/>
        <v>380.22064567774373</v>
      </c>
      <c r="AD15" s="26">
        <f>V15</f>
        <v>29486207.039999995</v>
      </c>
      <c r="AE15" s="109" t="s">
        <v>91</v>
      </c>
    </row>
    <row r="16" spans="1:31" s="10" customFormat="1" ht="264.75" hidden="1" customHeight="1" x14ac:dyDescent="0.3">
      <c r="A16" s="9"/>
      <c r="B16" s="116" t="s">
        <v>20</v>
      </c>
      <c r="C16" s="116"/>
      <c r="D16" s="116"/>
      <c r="E16" s="116"/>
      <c r="F16" s="116"/>
      <c r="G16" s="116"/>
      <c r="H16" s="116"/>
      <c r="I16" s="116"/>
      <c r="J16" s="12">
        <v>5750000</v>
      </c>
      <c r="K16" s="103">
        <v>10772531.619999999</v>
      </c>
      <c r="L16" s="12">
        <f t="shared" si="17"/>
        <v>10772531.619999999</v>
      </c>
      <c r="M16" s="103">
        <v>7610678.0099999998</v>
      </c>
      <c r="N16" s="99">
        <f t="shared" si="15"/>
        <v>132.35961756521738</v>
      </c>
      <c r="O16" s="12">
        <f>M16</f>
        <v>7610678.0099999998</v>
      </c>
      <c r="P16" s="12">
        <v>10123000</v>
      </c>
      <c r="Q16" s="12">
        <v>7248000</v>
      </c>
      <c r="R16" s="12">
        <v>3256792.04</v>
      </c>
      <c r="S16" s="12">
        <v>36120.339999999997</v>
      </c>
      <c r="T16" s="12">
        <f>17324+575.91</f>
        <v>17899.91</v>
      </c>
      <c r="U16" s="12">
        <v>3309207.0399999996</v>
      </c>
      <c r="V16" s="12">
        <f t="shared" si="16"/>
        <v>3327106.9499999997</v>
      </c>
      <c r="W16" s="12">
        <f t="shared" si="5"/>
        <v>-18220.429999999997</v>
      </c>
      <c r="X16" s="12">
        <f t="shared" si="6"/>
        <v>-3920893.0500000003</v>
      </c>
      <c r="Y16" s="35">
        <f t="shared" si="19"/>
        <v>45.9037934602649</v>
      </c>
      <c r="Z16" s="35">
        <f t="shared" si="8"/>
        <v>70314.909999999683</v>
      </c>
      <c r="AA16" s="35">
        <f t="shared" si="20"/>
        <v>102.15902363848812</v>
      </c>
      <c r="AB16" s="12">
        <f t="shared" si="10"/>
        <v>-4283571.0600000005</v>
      </c>
      <c r="AC16" s="35">
        <f t="shared" si="18"/>
        <v>43.716301565095378</v>
      </c>
      <c r="AD16" s="26">
        <v>8155000</v>
      </c>
      <c r="AE16" s="108" t="s">
        <v>88</v>
      </c>
    </row>
    <row r="17" spans="1:31" s="10" customFormat="1" ht="136.5" hidden="1" customHeight="1" x14ac:dyDescent="0.3">
      <c r="A17" s="9"/>
      <c r="B17" s="116" t="s">
        <v>19</v>
      </c>
      <c r="C17" s="116"/>
      <c r="D17" s="116"/>
      <c r="E17" s="116"/>
      <c r="F17" s="116"/>
      <c r="G17" s="116"/>
      <c r="H17" s="116"/>
      <c r="I17" s="116"/>
      <c r="J17" s="12">
        <v>17687000</v>
      </c>
      <c r="K17" s="103">
        <v>20961775.740000002</v>
      </c>
      <c r="L17" s="12">
        <f t="shared" si="17"/>
        <v>20961775.740000002</v>
      </c>
      <c r="M17" s="103">
        <v>5431884.5499999998</v>
      </c>
      <c r="N17" s="99">
        <f t="shared" si="15"/>
        <v>30.71116950302482</v>
      </c>
      <c r="O17" s="12">
        <f>M17</f>
        <v>5431884.5499999998</v>
      </c>
      <c r="P17" s="12">
        <v>18972000</v>
      </c>
      <c r="Q17" s="12">
        <v>18972000</v>
      </c>
      <c r="R17" s="12">
        <v>7123029</v>
      </c>
      <c r="S17" s="12">
        <v>8675.2900000000009</v>
      </c>
      <c r="T17" s="12">
        <f>1626.48+2873.04</f>
        <v>4499.5200000000004</v>
      </c>
      <c r="U17" s="12">
        <v>2272850.1999999997</v>
      </c>
      <c r="V17" s="12">
        <f t="shared" si="16"/>
        <v>2277349.7199999997</v>
      </c>
      <c r="W17" s="12">
        <f t="shared" si="5"/>
        <v>-4175.7700000000004</v>
      </c>
      <c r="X17" s="12">
        <f t="shared" si="6"/>
        <v>-16694650.280000001</v>
      </c>
      <c r="Y17" s="35">
        <f t="shared" si="19"/>
        <v>12.003740881298755</v>
      </c>
      <c r="Z17" s="35">
        <f t="shared" si="8"/>
        <v>-4845679.28</v>
      </c>
      <c r="AA17" s="35">
        <f t="shared" si="20"/>
        <v>31.971647455036329</v>
      </c>
      <c r="AB17" s="12">
        <f t="shared" si="10"/>
        <v>-3154534.83</v>
      </c>
      <c r="AC17" s="35">
        <f t="shared" si="18"/>
        <v>41.925591367732586</v>
      </c>
      <c r="AD17" s="26">
        <f>Q17</f>
        <v>18972000</v>
      </c>
      <c r="AE17" s="109" t="s">
        <v>90</v>
      </c>
    </row>
    <row r="18" spans="1:31" s="10" customFormat="1" ht="24" hidden="1" customHeight="1" x14ac:dyDescent="0.3">
      <c r="A18" s="9"/>
      <c r="B18" s="116" t="s">
        <v>17</v>
      </c>
      <c r="C18" s="116"/>
      <c r="D18" s="116"/>
      <c r="E18" s="116"/>
      <c r="F18" s="116"/>
      <c r="G18" s="116"/>
      <c r="H18" s="116"/>
      <c r="I18" s="116"/>
      <c r="J18" s="12">
        <f t="shared" ref="J18:K18" si="21">J19+J20</f>
        <v>50310000</v>
      </c>
      <c r="K18" s="103">
        <f t="shared" si="21"/>
        <v>62134400.109999992</v>
      </c>
      <c r="L18" s="12">
        <f t="shared" ref="L18:V18" si="22">L19+L20</f>
        <v>62134400.109999992</v>
      </c>
      <c r="M18" s="103">
        <f t="shared" ref="M18" si="23">M19+M20</f>
        <v>24602466.390000001</v>
      </c>
      <c r="N18" s="99">
        <f t="shared" si="15"/>
        <v>48.901741979725699</v>
      </c>
      <c r="O18" s="12">
        <f>O19+O20</f>
        <v>24602466.390000001</v>
      </c>
      <c r="P18" s="12">
        <f t="shared" ref="P18:Q18" si="24">P19+P20</f>
        <v>56009000</v>
      </c>
      <c r="Q18" s="12">
        <f t="shared" si="24"/>
        <v>56009000</v>
      </c>
      <c r="R18" s="12">
        <f t="shared" ref="R18:S18" si="25">R19+R20</f>
        <v>26368534</v>
      </c>
      <c r="S18" s="12">
        <f t="shared" si="25"/>
        <v>143539.96000000002</v>
      </c>
      <c r="T18" s="12">
        <f t="shared" ref="T18" si="26">T19+T20</f>
        <v>234422.21000000002</v>
      </c>
      <c r="U18" s="12">
        <v>22665747.579999998</v>
      </c>
      <c r="V18" s="12">
        <f t="shared" si="22"/>
        <v>22900169.789999995</v>
      </c>
      <c r="W18" s="12">
        <f t="shared" si="5"/>
        <v>90882.25</v>
      </c>
      <c r="X18" s="12">
        <f t="shared" si="6"/>
        <v>-33108830.210000005</v>
      </c>
      <c r="Y18" s="35">
        <f t="shared" si="19"/>
        <v>40.886589280294231</v>
      </c>
      <c r="Z18" s="35">
        <f t="shared" si="8"/>
        <v>-3468364.2100000046</v>
      </c>
      <c r="AA18" s="35">
        <f t="shared" si="20"/>
        <v>86.846579297885867</v>
      </c>
      <c r="AB18" s="12">
        <f t="shared" si="10"/>
        <v>-1702296.6000000052</v>
      </c>
      <c r="AC18" s="35">
        <f t="shared" si="18"/>
        <v>93.080788840374453</v>
      </c>
      <c r="AD18" s="103">
        <f t="shared" ref="AD18" si="27">AD19+AD20</f>
        <v>53781489.909999996</v>
      </c>
      <c r="AE18" s="5"/>
    </row>
    <row r="19" spans="1:31" s="5" customFormat="1" ht="146.25" hidden="1" customHeight="1" x14ac:dyDescent="0.3">
      <c r="A19" s="4"/>
      <c r="B19" s="31"/>
      <c r="C19" s="31"/>
      <c r="D19" s="31"/>
      <c r="E19" s="31"/>
      <c r="F19" s="31"/>
      <c r="G19" s="31"/>
      <c r="H19" s="31"/>
      <c r="I19" s="42" t="s">
        <v>70</v>
      </c>
      <c r="J19" s="50">
        <f>20442016.28+1713.92</f>
        <v>20443730.200000003</v>
      </c>
      <c r="K19" s="87">
        <v>23379655.739999995</v>
      </c>
      <c r="L19" s="13">
        <f>K19</f>
        <v>23379655.739999995</v>
      </c>
      <c r="M19" s="105">
        <v>17091041.32</v>
      </c>
      <c r="N19" s="99">
        <f t="shared" si="15"/>
        <v>83.600405370248907</v>
      </c>
      <c r="O19" s="13">
        <f>M19</f>
        <v>17091041.32</v>
      </c>
      <c r="P19" s="50">
        <v>20139000</v>
      </c>
      <c r="Q19" s="50">
        <v>20139000</v>
      </c>
      <c r="R19" s="50">
        <v>17694218</v>
      </c>
      <c r="S19" s="13">
        <v>113590.32</v>
      </c>
      <c r="T19" s="13">
        <f>126493.71+48466.67</f>
        <v>174960.38</v>
      </c>
      <c r="U19" s="13">
        <v>17736529.529999997</v>
      </c>
      <c r="V19" s="13">
        <f>U19+T19</f>
        <v>17911489.909999996</v>
      </c>
      <c r="W19" s="13">
        <f t="shared" si="5"/>
        <v>61370.06</v>
      </c>
      <c r="X19" s="13">
        <f t="shared" si="6"/>
        <v>-2227510.0900000036</v>
      </c>
      <c r="Y19" s="33">
        <f t="shared" si="19"/>
        <v>88.939321267192994</v>
      </c>
      <c r="Z19" s="33">
        <f t="shared" si="8"/>
        <v>217271.90999999642</v>
      </c>
      <c r="AA19" s="33">
        <f t="shared" si="20"/>
        <v>101.22792603775987</v>
      </c>
      <c r="AB19" s="13">
        <f t="shared" si="10"/>
        <v>820448.58999999613</v>
      </c>
      <c r="AC19" s="33">
        <f t="shared" si="18"/>
        <v>104.80045992890967</v>
      </c>
      <c r="AD19" s="23">
        <f>V19</f>
        <v>17911489.909999996</v>
      </c>
      <c r="AE19" s="111" t="s">
        <v>83</v>
      </c>
    </row>
    <row r="20" spans="1:31" s="5" customFormat="1" ht="137.25" hidden="1" customHeight="1" x14ac:dyDescent="0.3">
      <c r="A20" s="4"/>
      <c r="B20" s="31" t="s">
        <v>8</v>
      </c>
      <c r="C20" s="31" t="s">
        <v>18</v>
      </c>
      <c r="D20" s="31" t="s">
        <v>17</v>
      </c>
      <c r="E20" s="31"/>
      <c r="F20" s="31"/>
      <c r="G20" s="6"/>
      <c r="H20" s="6"/>
      <c r="I20" s="42" t="s">
        <v>71</v>
      </c>
      <c r="J20" s="50">
        <v>29866269.800000001</v>
      </c>
      <c r="K20" s="87">
        <v>38754744.369999997</v>
      </c>
      <c r="L20" s="13">
        <f>K20</f>
        <v>38754744.369999997</v>
      </c>
      <c r="M20" s="105">
        <v>7511425.0700000003</v>
      </c>
      <c r="N20" s="99">
        <f t="shared" si="15"/>
        <v>25.150194919889191</v>
      </c>
      <c r="O20" s="13">
        <f>M20</f>
        <v>7511425.0700000003</v>
      </c>
      <c r="P20" s="50">
        <v>35870000</v>
      </c>
      <c r="Q20" s="50">
        <v>35870000</v>
      </c>
      <c r="R20" s="50">
        <v>8674316</v>
      </c>
      <c r="S20" s="13">
        <v>29949.64</v>
      </c>
      <c r="T20" s="13">
        <f>52306.49+7155.34</f>
        <v>59461.83</v>
      </c>
      <c r="U20" s="13">
        <v>4929218.0499999989</v>
      </c>
      <c r="V20" s="13">
        <f>U20+T20</f>
        <v>4988679.879999999</v>
      </c>
      <c r="W20" s="13">
        <f t="shared" si="5"/>
        <v>29512.190000000002</v>
      </c>
      <c r="X20" s="13">
        <f t="shared" si="6"/>
        <v>-30881320.120000001</v>
      </c>
      <c r="Y20" s="35">
        <f t="shared" si="19"/>
        <v>13.907666239197098</v>
      </c>
      <c r="Z20" s="35">
        <f t="shared" si="8"/>
        <v>-3685636.120000001</v>
      </c>
      <c r="AA20" s="35">
        <f t="shared" si="20"/>
        <v>57.510930890689238</v>
      </c>
      <c r="AB20" s="13">
        <f t="shared" si="10"/>
        <v>-2522745.1900000013</v>
      </c>
      <c r="AC20" s="33">
        <f t="shared" si="18"/>
        <v>66.414559601005223</v>
      </c>
      <c r="AD20" s="23">
        <f>Q20</f>
        <v>35870000</v>
      </c>
      <c r="AE20" s="109" t="s">
        <v>89</v>
      </c>
    </row>
    <row r="21" spans="1:31" s="10" customFormat="1" ht="30.75" hidden="1" customHeight="1" x14ac:dyDescent="0.3">
      <c r="A21" s="9"/>
      <c r="B21" s="116" t="s">
        <v>16</v>
      </c>
      <c r="C21" s="116"/>
      <c r="D21" s="116"/>
      <c r="E21" s="116"/>
      <c r="F21" s="116"/>
      <c r="G21" s="116"/>
      <c r="H21" s="116"/>
      <c r="I21" s="116"/>
      <c r="J21" s="12">
        <v>24191752</v>
      </c>
      <c r="K21" s="103">
        <v>27111652.340000004</v>
      </c>
      <c r="L21" s="12">
        <f>K21</f>
        <v>27111652.340000004</v>
      </c>
      <c r="M21" s="103">
        <v>18247765</v>
      </c>
      <c r="N21" s="99">
        <f t="shared" si="15"/>
        <v>75.429696038550659</v>
      </c>
      <c r="O21" s="12">
        <f>M21</f>
        <v>18247765</v>
      </c>
      <c r="P21" s="12">
        <v>23209000</v>
      </c>
      <c r="Q21" s="12">
        <v>23209000</v>
      </c>
      <c r="R21" s="12">
        <v>18635271.800000001</v>
      </c>
      <c r="S21" s="12">
        <v>474044.26</v>
      </c>
      <c r="T21" s="12">
        <f>464925.32+73082.4+200</f>
        <v>538207.72</v>
      </c>
      <c r="U21" s="12">
        <v>18061529.360000011</v>
      </c>
      <c r="V21" s="12">
        <f>U21+T21</f>
        <v>18599737.080000009</v>
      </c>
      <c r="W21" s="12">
        <f t="shared" si="5"/>
        <v>64163.459999999963</v>
      </c>
      <c r="X21" s="12">
        <f t="shared" si="6"/>
        <v>-4609262.9199999906</v>
      </c>
      <c r="Y21" s="35">
        <f t="shared" si="19"/>
        <v>80.140191649791063</v>
      </c>
      <c r="Z21" s="35">
        <f t="shared" si="8"/>
        <v>-35534.719999991357</v>
      </c>
      <c r="AA21" s="35">
        <f t="shared" si="20"/>
        <v>99.809314721130121</v>
      </c>
      <c r="AB21" s="12">
        <f t="shared" si="10"/>
        <v>351972.08000000939</v>
      </c>
      <c r="AC21" s="35">
        <f t="shared" si="18"/>
        <v>101.92885035509833</v>
      </c>
      <c r="AD21" s="26">
        <v>22000000</v>
      </c>
      <c r="AE21" s="65"/>
    </row>
    <row r="22" spans="1:31" s="10" customFormat="1" ht="62.25" hidden="1" customHeight="1" x14ac:dyDescent="0.3">
      <c r="A22" s="9"/>
      <c r="B22" s="119" t="s">
        <v>44</v>
      </c>
      <c r="C22" s="119"/>
      <c r="D22" s="119"/>
      <c r="E22" s="119"/>
      <c r="F22" s="119"/>
      <c r="G22" s="119"/>
      <c r="H22" s="119"/>
      <c r="I22" s="119"/>
      <c r="J22" s="12">
        <v>0</v>
      </c>
      <c r="K22" s="103">
        <v>0</v>
      </c>
      <c r="L22" s="12">
        <f>K22</f>
        <v>0</v>
      </c>
      <c r="M22" s="103">
        <v>0</v>
      </c>
      <c r="N22" s="99" t="e">
        <f t="shared" si="15"/>
        <v>#DIV/0!</v>
      </c>
      <c r="O22" s="12">
        <f>M22</f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f>U22+T22</f>
        <v>0</v>
      </c>
      <c r="W22" s="12">
        <v>0</v>
      </c>
      <c r="X22" s="12">
        <f t="shared" si="6"/>
        <v>0</v>
      </c>
      <c r="Y22" s="35">
        <v>0</v>
      </c>
      <c r="Z22" s="35">
        <f t="shared" si="8"/>
        <v>0</v>
      </c>
      <c r="AA22" s="35">
        <v>0</v>
      </c>
      <c r="AB22" s="12">
        <f t="shared" si="10"/>
        <v>0</v>
      </c>
      <c r="AC22" s="35">
        <v>0</v>
      </c>
      <c r="AD22" s="26">
        <v>0</v>
      </c>
    </row>
    <row r="23" spans="1:31" s="10" customFormat="1" ht="37.5" hidden="1" customHeight="1" x14ac:dyDescent="0.3">
      <c r="A23" s="9"/>
      <c r="B23" s="51"/>
      <c r="C23" s="51"/>
      <c r="D23" s="51"/>
      <c r="E23" s="51"/>
      <c r="F23" s="51"/>
      <c r="G23" s="51"/>
      <c r="H23" s="51"/>
      <c r="I23" s="56" t="s">
        <v>50</v>
      </c>
      <c r="J23" s="54">
        <f>J24+J34+J35+J43+J46+J48</f>
        <v>87477597.310000002</v>
      </c>
      <c r="K23" s="54">
        <f>K24+K34+K35+K43+K46+K48</f>
        <v>95187278.199999988</v>
      </c>
      <c r="L23" s="54">
        <f>L24+L34+L35+L43+L46+L48</f>
        <v>95187278.199999988</v>
      </c>
      <c r="M23" s="54">
        <f>M24+M34+M35+M43+M46+M48</f>
        <v>63879093.300000004</v>
      </c>
      <c r="N23" s="55">
        <f t="shared" si="15"/>
        <v>73.023374285907209</v>
      </c>
      <c r="O23" s="54">
        <f t="shared" ref="O23:T23" si="28">O24+O34+O35+O43+O46+O48</f>
        <v>61410560.609999999</v>
      </c>
      <c r="P23" s="54">
        <f t="shared" si="28"/>
        <v>94773282.909999996</v>
      </c>
      <c r="Q23" s="54">
        <f t="shared" si="28"/>
        <v>95462943.060000002</v>
      </c>
      <c r="R23" s="54">
        <f t="shared" si="28"/>
        <v>70935137.290000007</v>
      </c>
      <c r="S23" s="54">
        <f t="shared" ref="S23" si="29">S24+S34+S35+S43+S46+S48</f>
        <v>3118426.03</v>
      </c>
      <c r="T23" s="54">
        <f t="shared" si="28"/>
        <v>1642219.2300000002</v>
      </c>
      <c r="U23" s="54">
        <v>67972953.400000006</v>
      </c>
      <c r="V23" s="54">
        <f>V24+V34+V35+V43+V46+V48</f>
        <v>69615172.629999995</v>
      </c>
      <c r="W23" s="54">
        <f t="shared" ref="W23:W61" si="30">T23-S23</f>
        <v>-1476206.7999999996</v>
      </c>
      <c r="X23" s="54">
        <f t="shared" si="6"/>
        <v>-25847770.430000007</v>
      </c>
      <c r="Y23" s="55">
        <f t="shared" ref="Y23:Y33" si="31">V23/Q23%</f>
        <v>72.923765388466734</v>
      </c>
      <c r="Z23" s="55">
        <f t="shared" si="8"/>
        <v>-1319964.6600000113</v>
      </c>
      <c r="AA23" s="55">
        <f t="shared" ref="AA23:AA33" si="32">V23/R23*100</f>
        <v>98.139194889263877</v>
      </c>
      <c r="AB23" s="54">
        <f t="shared" si="10"/>
        <v>8204612.0199999958</v>
      </c>
      <c r="AC23" s="55">
        <f t="shared" ref="AC23:AC33" si="33">V23/O23%</f>
        <v>113.36026236937491</v>
      </c>
      <c r="AD23" s="54" t="e">
        <f>AD24+AD34+AD35+AD43+AD46+AD48</f>
        <v>#REF!</v>
      </c>
    </row>
    <row r="24" spans="1:31" s="10" customFormat="1" ht="83.25" hidden="1" customHeight="1" x14ac:dyDescent="0.3">
      <c r="A24" s="9"/>
      <c r="B24" s="116" t="s">
        <v>15</v>
      </c>
      <c r="C24" s="116"/>
      <c r="D24" s="116"/>
      <c r="E24" s="116"/>
      <c r="F24" s="116"/>
      <c r="G24" s="116"/>
      <c r="H24" s="116"/>
      <c r="I24" s="116"/>
      <c r="J24" s="12">
        <f>J25+J28+J30</f>
        <v>40050727.879999995</v>
      </c>
      <c r="K24" s="103">
        <f>K25+K28+K30</f>
        <v>43633958.93</v>
      </c>
      <c r="L24" s="12">
        <f>L25+L28+L30</f>
        <v>43633958.93</v>
      </c>
      <c r="M24" s="103">
        <f>M25+M28+M30</f>
        <v>28376931.220000003</v>
      </c>
      <c r="N24" s="99">
        <f t="shared" si="15"/>
        <v>70.852473156100871</v>
      </c>
      <c r="O24" s="12">
        <f t="shared" ref="O24:T24" si="34">O25+O28+O30</f>
        <v>28376931.220000003</v>
      </c>
      <c r="P24" s="12">
        <f t="shared" si="34"/>
        <v>49458030</v>
      </c>
      <c r="Q24" s="12">
        <f t="shared" si="34"/>
        <v>49458030</v>
      </c>
      <c r="R24" s="12">
        <f t="shared" si="34"/>
        <v>35950231.580000006</v>
      </c>
      <c r="S24" s="12">
        <f t="shared" ref="S24" si="35">S25+S28+S30</f>
        <v>217334.18</v>
      </c>
      <c r="T24" s="12">
        <f t="shared" si="34"/>
        <v>893218.99</v>
      </c>
      <c r="U24" s="12">
        <v>33174522.02</v>
      </c>
      <c r="V24" s="12">
        <f>V25+V28+V30</f>
        <v>34067741.009999998</v>
      </c>
      <c r="W24" s="12">
        <f t="shared" si="30"/>
        <v>675884.81</v>
      </c>
      <c r="X24" s="12">
        <f t="shared" si="6"/>
        <v>-15390288.990000002</v>
      </c>
      <c r="Y24" s="35">
        <f t="shared" si="31"/>
        <v>68.882122902994723</v>
      </c>
      <c r="Z24" s="35">
        <f t="shared" si="8"/>
        <v>-1882490.5700000077</v>
      </c>
      <c r="AA24" s="35">
        <f t="shared" si="32"/>
        <v>94.763620462886578</v>
      </c>
      <c r="AB24" s="12">
        <f t="shared" si="10"/>
        <v>5690809.7899999954</v>
      </c>
      <c r="AC24" s="35">
        <f t="shared" si="33"/>
        <v>120.05435240999253</v>
      </c>
      <c r="AD24" s="103" t="e">
        <f>AD25+AD28+#REF!+AD30</f>
        <v>#REF!</v>
      </c>
    </row>
    <row r="25" spans="1:31" s="5" customFormat="1" ht="114.75" hidden="1" customHeight="1" x14ac:dyDescent="0.3">
      <c r="A25" s="4"/>
      <c r="B25" s="31"/>
      <c r="C25" s="31"/>
      <c r="D25" s="31"/>
      <c r="E25" s="31"/>
      <c r="F25" s="31"/>
      <c r="G25" s="31"/>
      <c r="H25" s="31"/>
      <c r="I25" s="64" t="s">
        <v>51</v>
      </c>
      <c r="J25" s="12">
        <f>J26+J27</f>
        <v>37585376.519999996</v>
      </c>
      <c r="K25" s="103">
        <f>K26+K27</f>
        <v>40881233.780000001</v>
      </c>
      <c r="L25" s="13">
        <f t="shared" ref="L25:O25" si="36">L26+L27</f>
        <v>40881233.780000001</v>
      </c>
      <c r="M25" s="103">
        <f>M26+M27</f>
        <v>26593736.170000002</v>
      </c>
      <c r="N25" s="99">
        <f t="shared" si="15"/>
        <v>70.755540138992345</v>
      </c>
      <c r="O25" s="12">
        <f t="shared" si="36"/>
        <v>26593736.170000002</v>
      </c>
      <c r="P25" s="12">
        <f>P26+P27</f>
        <v>47395430</v>
      </c>
      <c r="Q25" s="12">
        <f>Q26+Q27</f>
        <v>47227105</v>
      </c>
      <c r="R25" s="12">
        <f>R26+R27</f>
        <v>34091807.980000004</v>
      </c>
      <c r="S25" s="12">
        <f t="shared" ref="S25" si="37">S26+S27</f>
        <v>190217.87</v>
      </c>
      <c r="T25" s="12">
        <f t="shared" ref="T25" si="38">T26+T27</f>
        <v>829259.03</v>
      </c>
      <c r="U25" s="12">
        <v>31402492.789999999</v>
      </c>
      <c r="V25" s="12">
        <f t="shared" ref="V25" si="39">V26+V27</f>
        <v>32231751.819999993</v>
      </c>
      <c r="W25" s="12">
        <f t="shared" si="30"/>
        <v>639041.16</v>
      </c>
      <c r="X25" s="12">
        <f t="shared" si="6"/>
        <v>-14995353.180000007</v>
      </c>
      <c r="Y25" s="35">
        <f t="shared" si="31"/>
        <v>68.248417555977639</v>
      </c>
      <c r="Z25" s="35">
        <f t="shared" si="8"/>
        <v>-1860056.1600000113</v>
      </c>
      <c r="AA25" s="35">
        <f t="shared" si="32"/>
        <v>94.543979125157534</v>
      </c>
      <c r="AB25" s="12">
        <f t="shared" si="10"/>
        <v>5638015.6499999911</v>
      </c>
      <c r="AC25" s="35">
        <f t="shared" si="33"/>
        <v>121.2005399089435</v>
      </c>
      <c r="AD25" s="103">
        <f>AD26+AD27</f>
        <v>40596497.799999997</v>
      </c>
    </row>
    <row r="26" spans="1:31" s="5" customFormat="1" ht="37.5" hidden="1" customHeight="1" x14ac:dyDescent="0.3">
      <c r="A26" s="4"/>
      <c r="B26" s="31"/>
      <c r="C26" s="31"/>
      <c r="D26" s="31"/>
      <c r="E26" s="31"/>
      <c r="F26" s="31"/>
      <c r="G26" s="31"/>
      <c r="H26" s="31"/>
      <c r="I26" s="47" t="s">
        <v>52</v>
      </c>
      <c r="J26" s="13">
        <v>23857597.879999999</v>
      </c>
      <c r="K26" s="87">
        <v>25869392.800000001</v>
      </c>
      <c r="L26" s="13">
        <f>K26</f>
        <v>25869392.800000001</v>
      </c>
      <c r="M26" s="87">
        <v>17797841.539999999</v>
      </c>
      <c r="N26" s="99">
        <f t="shared" si="15"/>
        <v>74.600308168158293</v>
      </c>
      <c r="O26" s="13">
        <f>M26</f>
        <v>17797841.539999999</v>
      </c>
      <c r="P26" s="13">
        <v>32500000</v>
      </c>
      <c r="Q26" s="13">
        <v>32500000</v>
      </c>
      <c r="R26" s="13">
        <v>25655749.420000002</v>
      </c>
      <c r="S26" s="13">
        <f>129901.86+1250</f>
        <v>131151.85999999999</v>
      </c>
      <c r="T26" s="13">
        <f>619900.14+104317.44</f>
        <v>724217.58000000007</v>
      </c>
      <c r="U26" s="13">
        <v>22918355.549999997</v>
      </c>
      <c r="V26" s="13">
        <f>U26+T26</f>
        <v>23642573.129999995</v>
      </c>
      <c r="W26" s="13">
        <f t="shared" si="30"/>
        <v>593065.72000000009</v>
      </c>
      <c r="X26" s="13">
        <f t="shared" si="6"/>
        <v>-8857426.8700000048</v>
      </c>
      <c r="Y26" s="33">
        <f t="shared" si="31"/>
        <v>72.746378861538446</v>
      </c>
      <c r="Z26" s="33">
        <f t="shared" si="8"/>
        <v>-2013176.2900000066</v>
      </c>
      <c r="AA26" s="33">
        <f t="shared" si="32"/>
        <v>92.153118363283397</v>
      </c>
      <c r="AB26" s="13">
        <f t="shared" si="10"/>
        <v>5844731.5899999961</v>
      </c>
      <c r="AC26" s="33">
        <f t="shared" si="33"/>
        <v>132.83955291356074</v>
      </c>
      <c r="AD26" s="23">
        <f>L26</f>
        <v>25869392.800000001</v>
      </c>
    </row>
    <row r="27" spans="1:31" s="5" customFormat="1" ht="38.25" hidden="1" customHeight="1" x14ac:dyDescent="0.3">
      <c r="A27" s="4"/>
      <c r="B27" s="31"/>
      <c r="C27" s="31"/>
      <c r="D27" s="31"/>
      <c r="E27" s="31"/>
      <c r="F27" s="31"/>
      <c r="G27" s="31"/>
      <c r="H27" s="31"/>
      <c r="I27" s="47" t="s">
        <v>69</v>
      </c>
      <c r="J27" s="13">
        <f>8632110+5095357.34+308.42+2.88</f>
        <v>13727778.640000001</v>
      </c>
      <c r="K27" s="87">
        <v>15011840.979999999</v>
      </c>
      <c r="L27" s="13">
        <f>K27</f>
        <v>15011840.979999999</v>
      </c>
      <c r="M27" s="87">
        <v>8795894.6300000008</v>
      </c>
      <c r="N27" s="99">
        <f t="shared" si="15"/>
        <v>64.073692187682298</v>
      </c>
      <c r="O27" s="13">
        <f>M27</f>
        <v>8795894.6300000008</v>
      </c>
      <c r="P27" s="13">
        <f>9395430+5500000</f>
        <v>14895430</v>
      </c>
      <c r="Q27" s="13">
        <f>9312873+5414232</f>
        <v>14727105</v>
      </c>
      <c r="R27" s="13">
        <f>4869376.56+3566682</f>
        <v>8436058.5599999987</v>
      </c>
      <c r="S27" s="13">
        <v>59066.01</v>
      </c>
      <c r="T27" s="13">
        <f>105041.45</f>
        <v>105041.45</v>
      </c>
      <c r="U27" s="13">
        <v>8484137.2400000002</v>
      </c>
      <c r="V27" s="13">
        <f>U27+T27</f>
        <v>8589178.6899999995</v>
      </c>
      <c r="W27" s="13">
        <f t="shared" si="30"/>
        <v>45975.439999999995</v>
      </c>
      <c r="X27" s="12">
        <f t="shared" si="6"/>
        <v>-6137926.3100000005</v>
      </c>
      <c r="Y27" s="33">
        <f t="shared" si="31"/>
        <v>58.32224792313221</v>
      </c>
      <c r="Z27" s="33">
        <f t="shared" si="8"/>
        <v>153120.13000000082</v>
      </c>
      <c r="AA27" s="33">
        <f t="shared" si="32"/>
        <v>101.81506717753275</v>
      </c>
      <c r="AB27" s="13">
        <f t="shared" si="10"/>
        <v>-206715.94000000134</v>
      </c>
      <c r="AC27" s="33">
        <f t="shared" si="33"/>
        <v>97.649858841021597</v>
      </c>
      <c r="AD27" s="23">
        <f>Q27</f>
        <v>14727105</v>
      </c>
      <c r="AE27" s="110"/>
    </row>
    <row r="28" spans="1:31" s="5" customFormat="1" ht="80.25" hidden="1" customHeight="1" x14ac:dyDescent="0.3">
      <c r="A28" s="4"/>
      <c r="B28" s="31"/>
      <c r="C28" s="31"/>
      <c r="D28" s="31"/>
      <c r="E28" s="31"/>
      <c r="F28" s="31"/>
      <c r="G28" s="6"/>
      <c r="H28" s="6"/>
      <c r="I28" s="64" t="s">
        <v>53</v>
      </c>
      <c r="J28" s="12">
        <f t="shared" ref="J28:T28" si="40">J29</f>
        <v>1275541.3599999999</v>
      </c>
      <c r="K28" s="103">
        <f t="shared" si="40"/>
        <v>1490189.2099999995</v>
      </c>
      <c r="L28" s="13">
        <f t="shared" si="40"/>
        <v>1490189.2099999995</v>
      </c>
      <c r="M28" s="103">
        <f t="shared" ref="M28" si="41">M29</f>
        <v>1011791.85</v>
      </c>
      <c r="N28" s="99">
        <f t="shared" si="15"/>
        <v>79.32254348851535</v>
      </c>
      <c r="O28" s="12">
        <f t="shared" si="40"/>
        <v>1011791.85</v>
      </c>
      <c r="P28" s="12">
        <f t="shared" si="40"/>
        <v>718870</v>
      </c>
      <c r="Q28" s="12">
        <f t="shared" si="40"/>
        <v>887195</v>
      </c>
      <c r="R28" s="12">
        <f t="shared" si="40"/>
        <v>792121.6</v>
      </c>
      <c r="S28" s="12">
        <f t="shared" si="40"/>
        <v>19552.8</v>
      </c>
      <c r="T28" s="12">
        <f t="shared" si="40"/>
        <v>32348.6</v>
      </c>
      <c r="U28" s="12">
        <v>768895.32000000018</v>
      </c>
      <c r="V28" s="12">
        <f t="shared" ref="V28" si="42">V29</f>
        <v>801243.92000000016</v>
      </c>
      <c r="W28" s="12">
        <f t="shared" si="30"/>
        <v>12795.8</v>
      </c>
      <c r="X28" s="12">
        <f t="shared" si="6"/>
        <v>-85951.079999999842</v>
      </c>
      <c r="Y28" s="35">
        <f t="shared" si="31"/>
        <v>90.312041884816765</v>
      </c>
      <c r="Z28" s="35">
        <f t="shared" si="8"/>
        <v>9122.3200000001816</v>
      </c>
      <c r="AA28" s="35">
        <f t="shared" si="32"/>
        <v>101.15163126469473</v>
      </c>
      <c r="AB28" s="12">
        <f t="shared" si="10"/>
        <v>-210547.92999999982</v>
      </c>
      <c r="AC28" s="35">
        <f t="shared" si="33"/>
        <v>79.190588459474171</v>
      </c>
      <c r="AD28" s="103">
        <f t="shared" ref="AD28" si="43">AD29</f>
        <v>801243.92000000016</v>
      </c>
      <c r="AE28" s="59"/>
    </row>
    <row r="29" spans="1:31" s="5" customFormat="1" ht="68.25" hidden="1" customHeight="1" x14ac:dyDescent="0.3">
      <c r="A29" s="4"/>
      <c r="B29" s="18"/>
      <c r="C29" s="18"/>
      <c r="D29" s="18"/>
      <c r="E29" s="18"/>
      <c r="F29" s="18"/>
      <c r="G29" s="48"/>
      <c r="H29" s="48"/>
      <c r="I29" s="47" t="s">
        <v>57</v>
      </c>
      <c r="J29" s="15">
        <f>510901.36+764640</f>
        <v>1275541.3599999999</v>
      </c>
      <c r="K29" s="87">
        <v>1490189.2099999995</v>
      </c>
      <c r="L29" s="15">
        <f>K29</f>
        <v>1490189.2099999995</v>
      </c>
      <c r="M29" s="87">
        <v>1011791.85</v>
      </c>
      <c r="N29" s="99">
        <f t="shared" si="15"/>
        <v>79.32254348851535</v>
      </c>
      <c r="O29" s="15">
        <f>M29</f>
        <v>1011791.85</v>
      </c>
      <c r="P29" s="15">
        <f>257320+461550</f>
        <v>718870</v>
      </c>
      <c r="Q29" s="15">
        <f>411095+476100</f>
        <v>887195</v>
      </c>
      <c r="R29" s="15">
        <f>411095+381026.6</f>
        <v>792121.6</v>
      </c>
      <c r="S29" s="13">
        <v>19552.8</v>
      </c>
      <c r="T29" s="13">
        <f>21824.2+10524.4</f>
        <v>32348.6</v>
      </c>
      <c r="U29" s="13">
        <v>768895.32000000018</v>
      </c>
      <c r="V29" s="13">
        <f>U29+T29</f>
        <v>801243.92000000016</v>
      </c>
      <c r="W29" s="13">
        <f t="shared" si="30"/>
        <v>12795.8</v>
      </c>
      <c r="X29" s="13">
        <f t="shared" si="6"/>
        <v>-85951.079999999842</v>
      </c>
      <c r="Y29" s="33">
        <f t="shared" si="31"/>
        <v>90.312041884816765</v>
      </c>
      <c r="Z29" s="33">
        <f t="shared" si="8"/>
        <v>9122.3200000001816</v>
      </c>
      <c r="AA29" s="33">
        <f t="shared" si="32"/>
        <v>101.15163126469473</v>
      </c>
      <c r="AB29" s="13">
        <f t="shared" si="10"/>
        <v>-210547.92999999982</v>
      </c>
      <c r="AC29" s="33">
        <f t="shared" si="33"/>
        <v>79.190588459474171</v>
      </c>
      <c r="AD29" s="23">
        <f>V29</f>
        <v>801243.92000000016</v>
      </c>
      <c r="AE29" s="81" t="s">
        <v>82</v>
      </c>
    </row>
    <row r="30" spans="1:31" s="10" customFormat="1" ht="58.5" hidden="1" customHeight="1" x14ac:dyDescent="0.3">
      <c r="A30" s="9"/>
      <c r="B30" s="30"/>
      <c r="C30" s="30"/>
      <c r="D30" s="30"/>
      <c r="E30" s="30"/>
      <c r="F30" s="30"/>
      <c r="G30" s="11"/>
      <c r="H30" s="11"/>
      <c r="I30" s="63" t="s">
        <v>55</v>
      </c>
      <c r="J30" s="12">
        <f t="shared" ref="J30:S30" si="44">J31+J32+J33</f>
        <v>1189810</v>
      </c>
      <c r="K30" s="103">
        <f t="shared" si="44"/>
        <v>1262535.9400000002</v>
      </c>
      <c r="L30" s="12">
        <f t="shared" si="44"/>
        <v>1262535.9400000002</v>
      </c>
      <c r="M30" s="103">
        <f t="shared" si="44"/>
        <v>771403.20000000007</v>
      </c>
      <c r="N30" s="100">
        <f t="shared" si="44"/>
        <v>191.26737172078151</v>
      </c>
      <c r="O30" s="12">
        <f t="shared" si="44"/>
        <v>771403.20000000007</v>
      </c>
      <c r="P30" s="12">
        <f t="shared" si="44"/>
        <v>1343730</v>
      </c>
      <c r="Q30" s="12">
        <f t="shared" si="44"/>
        <v>1343730</v>
      </c>
      <c r="R30" s="12">
        <f t="shared" si="44"/>
        <v>1066302</v>
      </c>
      <c r="S30" s="12">
        <f t="shared" si="44"/>
        <v>7563.51</v>
      </c>
      <c r="T30" s="12">
        <f t="shared" ref="T30:V30" si="45">T31+T32+T33</f>
        <v>31611.360000000001</v>
      </c>
      <c r="U30" s="12">
        <v>1003133.9099999999</v>
      </c>
      <c r="V30" s="12">
        <f t="shared" si="45"/>
        <v>1034745.2699999999</v>
      </c>
      <c r="W30" s="12">
        <f t="shared" si="30"/>
        <v>24047.85</v>
      </c>
      <c r="X30" s="12">
        <f t="shared" si="6"/>
        <v>-308984.7300000001</v>
      </c>
      <c r="Y30" s="35">
        <f t="shared" si="31"/>
        <v>77.005445290348504</v>
      </c>
      <c r="Z30" s="35">
        <f t="shared" si="8"/>
        <v>-31556.730000000098</v>
      </c>
      <c r="AA30" s="35">
        <f t="shared" si="32"/>
        <v>97.040544798753075</v>
      </c>
      <c r="AB30" s="12">
        <f t="shared" si="10"/>
        <v>263342.06999999983</v>
      </c>
      <c r="AC30" s="35">
        <f t="shared" si="33"/>
        <v>134.13805776278861</v>
      </c>
      <c r="AD30" s="103" t="e">
        <f>AD31+AD32+AD33+#REF!</f>
        <v>#REF!</v>
      </c>
    </row>
    <row r="31" spans="1:31" s="10" customFormat="1" ht="48.75" hidden="1" customHeight="1" x14ac:dyDescent="0.3">
      <c r="A31" s="9"/>
      <c r="B31" s="30"/>
      <c r="C31" s="30"/>
      <c r="D31" s="30"/>
      <c r="E31" s="30"/>
      <c r="F31" s="30"/>
      <c r="G31" s="11"/>
      <c r="H31" s="11"/>
      <c r="I31" s="86" t="s">
        <v>72</v>
      </c>
      <c r="J31" s="13">
        <v>937855.03</v>
      </c>
      <c r="K31" s="87">
        <v>1011590.8500000001</v>
      </c>
      <c r="L31" s="13">
        <f>K31</f>
        <v>1011590.8500000001</v>
      </c>
      <c r="M31" s="87">
        <v>628625.68000000005</v>
      </c>
      <c r="N31" s="99">
        <f t="shared" si="15"/>
        <v>67.028022443937843</v>
      </c>
      <c r="O31" s="13">
        <f>M31</f>
        <v>628625.68000000005</v>
      </c>
      <c r="P31" s="13">
        <v>968980</v>
      </c>
      <c r="Q31" s="13">
        <v>968980</v>
      </c>
      <c r="R31" s="13">
        <v>746279.07</v>
      </c>
      <c r="S31" s="87">
        <v>6288.51</v>
      </c>
      <c r="T31" s="87">
        <f>28353.09</f>
        <v>28353.09</v>
      </c>
      <c r="U31" s="13">
        <v>719767.53</v>
      </c>
      <c r="V31" s="13">
        <f>U31+T31</f>
        <v>748120.62</v>
      </c>
      <c r="W31" s="13">
        <f t="shared" si="30"/>
        <v>22064.58</v>
      </c>
      <c r="X31" s="13">
        <f t="shared" si="6"/>
        <v>-220859.38</v>
      </c>
      <c r="Y31" s="33">
        <f t="shared" si="31"/>
        <v>77.207023880781861</v>
      </c>
      <c r="Z31" s="33">
        <f t="shared" si="8"/>
        <v>1841.5500000000466</v>
      </c>
      <c r="AA31" s="33">
        <f t="shared" si="32"/>
        <v>100.24676425670091</v>
      </c>
      <c r="AB31" s="13">
        <f t="shared" si="10"/>
        <v>119494.93999999994</v>
      </c>
      <c r="AC31" s="33">
        <f t="shared" si="33"/>
        <v>119.00891799393241</v>
      </c>
      <c r="AD31" s="26">
        <f>Q31</f>
        <v>968980</v>
      </c>
    </row>
    <row r="32" spans="1:31" s="10" customFormat="1" ht="58.5" hidden="1" customHeight="1" x14ac:dyDescent="0.3">
      <c r="A32" s="9"/>
      <c r="B32" s="30"/>
      <c r="C32" s="30"/>
      <c r="D32" s="30"/>
      <c r="E32" s="30"/>
      <c r="F32" s="30"/>
      <c r="G32" s="11"/>
      <c r="H32" s="11"/>
      <c r="I32" s="47" t="s">
        <v>58</v>
      </c>
      <c r="J32" s="13">
        <v>173890.97</v>
      </c>
      <c r="K32" s="87">
        <v>172881.09</v>
      </c>
      <c r="L32" s="13">
        <f>K32</f>
        <v>172881.09</v>
      </c>
      <c r="M32" s="87">
        <v>83094.52</v>
      </c>
      <c r="N32" s="99">
        <f t="shared" si="15"/>
        <v>47.785414044214029</v>
      </c>
      <c r="O32" s="13">
        <f>M32</f>
        <v>83094.52</v>
      </c>
      <c r="P32" s="13">
        <v>300000</v>
      </c>
      <c r="Q32" s="13">
        <v>300000</v>
      </c>
      <c r="R32" s="13">
        <v>245272.93</v>
      </c>
      <c r="S32" s="87">
        <v>1275</v>
      </c>
      <c r="T32" s="87">
        <f>3258.27</f>
        <v>3258.27</v>
      </c>
      <c r="U32" s="13">
        <v>219273.37999999995</v>
      </c>
      <c r="V32" s="13">
        <f>U32+T32</f>
        <v>222531.64999999994</v>
      </c>
      <c r="W32" s="13">
        <f t="shared" si="30"/>
        <v>1983.27</v>
      </c>
      <c r="X32" s="13">
        <f t="shared" si="6"/>
        <v>-77468.350000000064</v>
      </c>
      <c r="Y32" s="33">
        <f t="shared" si="31"/>
        <v>74.177216666666652</v>
      </c>
      <c r="Z32" s="33">
        <f t="shared" si="8"/>
        <v>-22741.280000000057</v>
      </c>
      <c r="AA32" s="33">
        <f t="shared" si="32"/>
        <v>90.728173712443493</v>
      </c>
      <c r="AB32" s="13">
        <f t="shared" si="10"/>
        <v>139437.12999999995</v>
      </c>
      <c r="AC32" s="33">
        <f t="shared" si="33"/>
        <v>267.80544613531669</v>
      </c>
      <c r="AD32" s="26">
        <f>V32</f>
        <v>222531.64999999994</v>
      </c>
    </row>
    <row r="33" spans="1:32" s="10" customFormat="1" ht="58.5" hidden="1" customHeight="1" x14ac:dyDescent="0.3">
      <c r="A33" s="9"/>
      <c r="B33" s="30"/>
      <c r="C33" s="30"/>
      <c r="D33" s="30"/>
      <c r="E33" s="30"/>
      <c r="F33" s="30"/>
      <c r="G33" s="11"/>
      <c r="H33" s="11"/>
      <c r="I33" s="47" t="s">
        <v>59</v>
      </c>
      <c r="J33" s="13">
        <v>78064</v>
      </c>
      <c r="K33" s="87">
        <v>78064</v>
      </c>
      <c r="L33" s="13">
        <f>K33</f>
        <v>78064</v>
      </c>
      <c r="M33" s="87">
        <v>59683</v>
      </c>
      <c r="N33" s="99">
        <f t="shared" si="15"/>
        <v>76.453935232629632</v>
      </c>
      <c r="O33" s="13">
        <f>M33</f>
        <v>59683</v>
      </c>
      <c r="P33" s="13">
        <v>74750</v>
      </c>
      <c r="Q33" s="13">
        <v>74750</v>
      </c>
      <c r="R33" s="13">
        <v>74750</v>
      </c>
      <c r="S33" s="87">
        <v>0</v>
      </c>
      <c r="T33" s="87">
        <v>0</v>
      </c>
      <c r="U33" s="13">
        <v>64093</v>
      </c>
      <c r="V33" s="13">
        <f>U33+T33</f>
        <v>64093</v>
      </c>
      <c r="W33" s="13">
        <f t="shared" si="30"/>
        <v>0</v>
      </c>
      <c r="X33" s="13">
        <f t="shared" si="6"/>
        <v>-10657</v>
      </c>
      <c r="Y33" s="33">
        <f t="shared" si="31"/>
        <v>85.743143812709036</v>
      </c>
      <c r="Z33" s="33">
        <f t="shared" si="8"/>
        <v>-10657</v>
      </c>
      <c r="AA33" s="33">
        <f t="shared" si="32"/>
        <v>85.743143812709036</v>
      </c>
      <c r="AB33" s="13">
        <f t="shared" si="10"/>
        <v>4410</v>
      </c>
      <c r="AC33" s="33">
        <f t="shared" si="33"/>
        <v>107.38903875475428</v>
      </c>
      <c r="AD33" s="26">
        <f>V33</f>
        <v>64093</v>
      </c>
    </row>
    <row r="34" spans="1:32" s="10" customFormat="1" ht="40.5" hidden="1" customHeight="1" x14ac:dyDescent="0.3">
      <c r="A34" s="9"/>
      <c r="B34" s="116" t="s">
        <v>14</v>
      </c>
      <c r="C34" s="116"/>
      <c r="D34" s="116"/>
      <c r="E34" s="116"/>
      <c r="F34" s="116"/>
      <c r="G34" s="116"/>
      <c r="H34" s="116"/>
      <c r="I34" s="116"/>
      <c r="J34" s="12">
        <v>532200</v>
      </c>
      <c r="K34" s="103">
        <v>2613454.9399999976</v>
      </c>
      <c r="L34" s="12">
        <f>K34</f>
        <v>2613454.9399999976</v>
      </c>
      <c r="M34" s="103">
        <v>2416256.69</v>
      </c>
      <c r="N34" s="99">
        <f t="shared" si="15"/>
        <v>454.01290680195416</v>
      </c>
      <c r="O34" s="27">
        <f>M34-M34+V34</f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f>U34+T34</f>
        <v>0</v>
      </c>
      <c r="W34" s="12">
        <f t="shared" si="30"/>
        <v>0</v>
      </c>
      <c r="X34" s="12">
        <f t="shared" si="6"/>
        <v>0</v>
      </c>
      <c r="Y34" s="89">
        <v>0</v>
      </c>
      <c r="Z34" s="35">
        <f t="shared" si="8"/>
        <v>0</v>
      </c>
      <c r="AA34" s="89">
        <v>0</v>
      </c>
      <c r="AB34" s="12">
        <f t="shared" si="10"/>
        <v>0</v>
      </c>
      <c r="AC34" s="89">
        <v>0</v>
      </c>
      <c r="AD34" s="26">
        <f>V34</f>
        <v>0</v>
      </c>
    </row>
    <row r="35" spans="1:32" s="10" customFormat="1" ht="57.75" hidden="1" customHeight="1" x14ac:dyDescent="0.3">
      <c r="A35" s="9"/>
      <c r="B35" s="116" t="s">
        <v>13</v>
      </c>
      <c r="C35" s="116"/>
      <c r="D35" s="116"/>
      <c r="E35" s="116"/>
      <c r="F35" s="116"/>
      <c r="G35" s="116"/>
      <c r="H35" s="116"/>
      <c r="I35" s="116"/>
      <c r="J35" s="12">
        <f>J36+J42</f>
        <v>34512071.939999998</v>
      </c>
      <c r="K35" s="103">
        <f>K36+K42</f>
        <v>35707420.239999995</v>
      </c>
      <c r="L35" s="12">
        <f t="shared" ref="L35:O35" si="46">L36+L42</f>
        <v>35707420.239999995</v>
      </c>
      <c r="M35" s="103">
        <f>M36+M42</f>
        <v>21621540.940000001</v>
      </c>
      <c r="N35" s="99">
        <f t="shared" si="15"/>
        <v>62.649211492110723</v>
      </c>
      <c r="O35" s="12">
        <f t="shared" si="46"/>
        <v>21569264.940000001</v>
      </c>
      <c r="P35" s="12">
        <f>P36+P42</f>
        <v>31177520</v>
      </c>
      <c r="Q35" s="12">
        <f>Q36+Q42</f>
        <v>31522380.149999999</v>
      </c>
      <c r="R35" s="12">
        <f>R36+R42</f>
        <v>20744399.219999999</v>
      </c>
      <c r="S35" s="12">
        <f t="shared" ref="S35" si="47">S36+S42</f>
        <v>308277.82999999996</v>
      </c>
      <c r="T35" s="12">
        <f t="shared" ref="T35" si="48">T36+T42</f>
        <v>741254.92</v>
      </c>
      <c r="U35" s="12">
        <v>21949072.900000002</v>
      </c>
      <c r="V35" s="12">
        <f>V36+V42</f>
        <v>22690327.820000004</v>
      </c>
      <c r="W35" s="12">
        <f t="shared" si="30"/>
        <v>432977.09000000008</v>
      </c>
      <c r="X35" s="12">
        <f t="shared" si="6"/>
        <v>-8832052.3299999945</v>
      </c>
      <c r="Y35" s="35">
        <f>V35/Q35%</f>
        <v>71.981645142364044</v>
      </c>
      <c r="Z35" s="35">
        <f t="shared" si="8"/>
        <v>1945928.6000000052</v>
      </c>
      <c r="AA35" s="35">
        <f>V35/R35*100</f>
        <v>109.38050111436297</v>
      </c>
      <c r="AB35" s="12">
        <f t="shared" si="10"/>
        <v>1121062.8800000027</v>
      </c>
      <c r="AC35" s="35">
        <f>V35/O35%</f>
        <v>105.19750155194673</v>
      </c>
      <c r="AD35" s="103">
        <f>AD36+AD42</f>
        <v>34417312.640000001</v>
      </c>
    </row>
    <row r="36" spans="1:32" s="5" customFormat="1" ht="39" hidden="1" customHeight="1" x14ac:dyDescent="0.3">
      <c r="A36" s="4"/>
      <c r="B36" s="117" t="s">
        <v>46</v>
      </c>
      <c r="C36" s="117"/>
      <c r="D36" s="117"/>
      <c r="E36" s="117"/>
      <c r="F36" s="117"/>
      <c r="G36" s="117"/>
      <c r="H36" s="117"/>
      <c r="I36" s="117"/>
      <c r="J36" s="13">
        <f t="shared" ref="J36:K36" si="49">J37+J38+J41+J39+J40</f>
        <v>33600950</v>
      </c>
      <c r="K36" s="87">
        <f t="shared" si="49"/>
        <v>34508446.369999997</v>
      </c>
      <c r="L36" s="13">
        <f t="shared" ref="L36:M36" si="50">L37+L38+L41+L39+L40</f>
        <v>34508446.369999997</v>
      </c>
      <c r="M36" s="87">
        <f t="shared" si="50"/>
        <v>20548033.98</v>
      </c>
      <c r="N36" s="99">
        <f t="shared" si="15"/>
        <v>61.153134003651687</v>
      </c>
      <c r="O36" s="13">
        <f t="shared" ref="O36:T36" si="51">O37+O38+O41+O39+O40</f>
        <v>20495757.98</v>
      </c>
      <c r="P36" s="13">
        <f t="shared" si="51"/>
        <v>31177520</v>
      </c>
      <c r="Q36" s="13">
        <f t="shared" si="51"/>
        <v>31337430</v>
      </c>
      <c r="R36" s="13">
        <f t="shared" ref="R36:S36" si="52">R37+R38+R41+R39+R40</f>
        <v>20559449.07</v>
      </c>
      <c r="S36" s="13">
        <f t="shared" si="52"/>
        <v>28495.79</v>
      </c>
      <c r="T36" s="13">
        <f t="shared" si="51"/>
        <v>741254.92</v>
      </c>
      <c r="U36" s="13">
        <v>18869190.260000002</v>
      </c>
      <c r="V36" s="13">
        <f>V37+V38+V41+V39+V40</f>
        <v>19610445.180000003</v>
      </c>
      <c r="W36" s="13">
        <f t="shared" si="30"/>
        <v>712759.13</v>
      </c>
      <c r="X36" s="12">
        <f t="shared" si="6"/>
        <v>-11726984.819999997</v>
      </c>
      <c r="Y36" s="33">
        <f>V36/Q36%</f>
        <v>62.578345384417304</v>
      </c>
      <c r="Z36" s="33">
        <f t="shared" si="8"/>
        <v>-949003.88999999687</v>
      </c>
      <c r="AA36" s="33">
        <f>V36/R36*100</f>
        <v>95.384098636257875</v>
      </c>
      <c r="AB36" s="13">
        <f t="shared" si="10"/>
        <v>-885312.79999999702</v>
      </c>
      <c r="AC36" s="33">
        <f>V36/O36%</f>
        <v>95.680507152436633</v>
      </c>
      <c r="AD36" s="87">
        <f t="shared" ref="AD36" si="53">AD37+AD38+AD41+AD39+AD40</f>
        <v>31337430</v>
      </c>
    </row>
    <row r="37" spans="1:32" s="5" customFormat="1" ht="39" hidden="1" customHeight="1" x14ac:dyDescent="0.3">
      <c r="A37" s="4"/>
      <c r="B37" s="31"/>
      <c r="C37" s="31"/>
      <c r="D37" s="31"/>
      <c r="E37" s="31"/>
      <c r="F37" s="31"/>
      <c r="G37" s="31"/>
      <c r="H37" s="31"/>
      <c r="I37" s="34" t="s">
        <v>60</v>
      </c>
      <c r="J37" s="23">
        <v>401950</v>
      </c>
      <c r="K37" s="23">
        <v>442163.6</v>
      </c>
      <c r="L37" s="23">
        <f t="shared" ref="L37:L42" si="54">K37</f>
        <v>442163.6</v>
      </c>
      <c r="M37" s="23">
        <v>276466.62</v>
      </c>
      <c r="N37" s="36">
        <f t="shared" si="15"/>
        <v>68.781345938549563</v>
      </c>
      <c r="O37" s="23">
        <f t="shared" ref="O37:O42" si="55">M37</f>
        <v>276466.62</v>
      </c>
      <c r="P37" s="23">
        <v>120040</v>
      </c>
      <c r="Q37" s="23">
        <v>251000</v>
      </c>
      <c r="R37" s="23">
        <f>120040+130960</f>
        <v>251000</v>
      </c>
      <c r="S37" s="23">
        <v>4355</v>
      </c>
      <c r="T37" s="23">
        <f>2055+100</f>
        <v>2155</v>
      </c>
      <c r="U37" s="23">
        <v>320550</v>
      </c>
      <c r="V37" s="23">
        <f t="shared" ref="V37:V42" si="56">U37+T37</f>
        <v>322705</v>
      </c>
      <c r="W37" s="23">
        <f t="shared" si="30"/>
        <v>-2200</v>
      </c>
      <c r="X37" s="23">
        <f t="shared" si="6"/>
        <v>71705</v>
      </c>
      <c r="Y37" s="77">
        <f>V37/Q37%</f>
        <v>128.56772908366534</v>
      </c>
      <c r="Z37" s="77">
        <f t="shared" si="8"/>
        <v>71705</v>
      </c>
      <c r="AA37" s="77">
        <f>V37/R37*100</f>
        <v>128.56772908366534</v>
      </c>
      <c r="AB37" s="23">
        <f t="shared" si="10"/>
        <v>46238.380000000005</v>
      </c>
      <c r="AC37" s="77">
        <f>V37/O37%</f>
        <v>116.72476047922169</v>
      </c>
      <c r="AD37" s="23">
        <f>Q37</f>
        <v>251000</v>
      </c>
    </row>
    <row r="38" spans="1:32" s="5" customFormat="1" ht="39" hidden="1" customHeight="1" x14ac:dyDescent="0.3">
      <c r="A38" s="4"/>
      <c r="B38" s="31"/>
      <c r="C38" s="31"/>
      <c r="D38" s="31"/>
      <c r="E38" s="31"/>
      <c r="F38" s="31"/>
      <c r="G38" s="31"/>
      <c r="H38" s="31"/>
      <c r="I38" s="34" t="s">
        <v>61</v>
      </c>
      <c r="J38" s="23">
        <v>32999000</v>
      </c>
      <c r="K38" s="23">
        <v>33660206.769999996</v>
      </c>
      <c r="L38" s="23">
        <f t="shared" si="54"/>
        <v>33660206.769999996</v>
      </c>
      <c r="M38" s="23">
        <v>20019191.359999999</v>
      </c>
      <c r="N38" s="36">
        <f t="shared" si="15"/>
        <v>60.666054607715381</v>
      </c>
      <c r="O38" s="23">
        <f t="shared" si="55"/>
        <v>20019191.359999999</v>
      </c>
      <c r="P38" s="23">
        <v>30857480</v>
      </c>
      <c r="Q38" s="23">
        <v>30857480</v>
      </c>
      <c r="R38" s="23">
        <v>20079499.07</v>
      </c>
      <c r="S38" s="23">
        <v>15540.79</v>
      </c>
      <c r="T38" s="23">
        <f>720996.01+17353.91</f>
        <v>738349.92</v>
      </c>
      <c r="U38" s="23">
        <v>18278790.260000002</v>
      </c>
      <c r="V38" s="23">
        <f t="shared" si="56"/>
        <v>19017140.180000003</v>
      </c>
      <c r="W38" s="23">
        <f t="shared" si="30"/>
        <v>722809.13</v>
      </c>
      <c r="X38" s="23">
        <f t="shared" si="6"/>
        <v>-11840339.819999997</v>
      </c>
      <c r="Y38" s="77">
        <f>V38/Q38%</f>
        <v>61.628947600387342</v>
      </c>
      <c r="Z38" s="77">
        <f t="shared" si="8"/>
        <v>-1062358.8899999969</v>
      </c>
      <c r="AA38" s="77">
        <f>V38/R38*100</f>
        <v>94.709236090519681</v>
      </c>
      <c r="AB38" s="23">
        <f t="shared" si="10"/>
        <v>-1002051.179999996</v>
      </c>
      <c r="AC38" s="77">
        <f>V38/O38%</f>
        <v>94.994547172358935</v>
      </c>
      <c r="AD38" s="23">
        <f>Q38</f>
        <v>30857480</v>
      </c>
    </row>
    <row r="39" spans="1:32" s="5" customFormat="1" ht="39" hidden="1" customHeight="1" x14ac:dyDescent="0.3">
      <c r="A39" s="4"/>
      <c r="B39" s="31"/>
      <c r="C39" s="31"/>
      <c r="D39" s="31"/>
      <c r="E39" s="31"/>
      <c r="F39" s="31"/>
      <c r="G39" s="31"/>
      <c r="H39" s="31"/>
      <c r="I39" s="34" t="s">
        <v>62</v>
      </c>
      <c r="J39" s="23">
        <f>1400000-1400000</f>
        <v>0</v>
      </c>
      <c r="K39" s="23">
        <v>52276</v>
      </c>
      <c r="L39" s="23">
        <f t="shared" si="54"/>
        <v>52276</v>
      </c>
      <c r="M39" s="23">
        <v>52276</v>
      </c>
      <c r="N39" s="36" t="e">
        <f t="shared" si="15"/>
        <v>#DIV/0!</v>
      </c>
      <c r="O39" s="106">
        <f>M39-M39+V39</f>
        <v>0</v>
      </c>
      <c r="P39" s="23">
        <v>0</v>
      </c>
      <c r="Q39" s="23">
        <v>0</v>
      </c>
      <c r="R39" s="23">
        <f>1400000-1400000</f>
        <v>0</v>
      </c>
      <c r="S39" s="23">
        <v>0</v>
      </c>
      <c r="T39" s="23">
        <v>0</v>
      </c>
      <c r="U39" s="23">
        <v>0</v>
      </c>
      <c r="V39" s="23">
        <f t="shared" si="56"/>
        <v>0</v>
      </c>
      <c r="W39" s="23">
        <f t="shared" si="30"/>
        <v>0</v>
      </c>
      <c r="X39" s="23">
        <f t="shared" ref="X39:X61" si="57">V39-Q39</f>
        <v>0</v>
      </c>
      <c r="Y39" s="89">
        <v>0</v>
      </c>
      <c r="Z39" s="77">
        <f t="shared" ref="Z39:Z61" si="58">V39-R39</f>
        <v>0</v>
      </c>
      <c r="AA39" s="89">
        <v>0</v>
      </c>
      <c r="AB39" s="23">
        <f t="shared" ref="AB39:AB61" si="59">V39-O39</f>
        <v>0</v>
      </c>
      <c r="AC39" s="89">
        <v>0</v>
      </c>
      <c r="AD39" s="23">
        <f>Q39</f>
        <v>0</v>
      </c>
    </row>
    <row r="40" spans="1:32" s="5" customFormat="1" ht="39" hidden="1" customHeight="1" x14ac:dyDescent="0.3">
      <c r="A40" s="4"/>
      <c r="B40" s="31"/>
      <c r="C40" s="31"/>
      <c r="D40" s="31"/>
      <c r="E40" s="31"/>
      <c r="F40" s="31"/>
      <c r="G40" s="31"/>
      <c r="H40" s="31"/>
      <c r="I40" s="34" t="s">
        <v>63</v>
      </c>
      <c r="J40" s="23">
        <v>200000</v>
      </c>
      <c r="K40" s="23">
        <v>308200</v>
      </c>
      <c r="L40" s="23">
        <f t="shared" si="54"/>
        <v>308200</v>
      </c>
      <c r="M40" s="23">
        <v>167700</v>
      </c>
      <c r="N40" s="36">
        <f t="shared" si="15"/>
        <v>83.85</v>
      </c>
      <c r="O40" s="23">
        <f t="shared" si="55"/>
        <v>167700</v>
      </c>
      <c r="P40" s="23">
        <v>200000</v>
      </c>
      <c r="Q40" s="23">
        <v>200000</v>
      </c>
      <c r="R40" s="23">
        <v>200000</v>
      </c>
      <c r="S40" s="23">
        <v>8000</v>
      </c>
      <c r="T40" s="23">
        <v>0</v>
      </c>
      <c r="U40" s="23">
        <v>238800</v>
      </c>
      <c r="V40" s="23">
        <f t="shared" si="56"/>
        <v>238800</v>
      </c>
      <c r="W40" s="23">
        <f t="shared" si="30"/>
        <v>-8000</v>
      </c>
      <c r="X40" s="23">
        <f t="shared" si="57"/>
        <v>38800</v>
      </c>
      <c r="Y40" s="77">
        <f>V40/Q40%</f>
        <v>119.4</v>
      </c>
      <c r="Z40" s="77">
        <f t="shared" si="58"/>
        <v>38800</v>
      </c>
      <c r="AA40" s="77">
        <f>V40/R40*100</f>
        <v>119.39999999999999</v>
      </c>
      <c r="AB40" s="23">
        <f t="shared" si="59"/>
        <v>71100</v>
      </c>
      <c r="AC40" s="77">
        <f>V40/O40%</f>
        <v>142.39713774597496</v>
      </c>
      <c r="AD40" s="23">
        <f>Q40</f>
        <v>200000</v>
      </c>
    </row>
    <row r="41" spans="1:32" s="5" customFormat="1" ht="39" hidden="1" customHeight="1" x14ac:dyDescent="0.3">
      <c r="A41" s="4"/>
      <c r="B41" s="31"/>
      <c r="C41" s="31"/>
      <c r="D41" s="31"/>
      <c r="E41" s="31"/>
      <c r="F41" s="31"/>
      <c r="G41" s="31"/>
      <c r="H41" s="31"/>
      <c r="I41" s="34" t="s">
        <v>64</v>
      </c>
      <c r="J41" s="23">
        <v>0</v>
      </c>
      <c r="K41" s="23">
        <v>45600</v>
      </c>
      <c r="L41" s="23">
        <f t="shared" si="54"/>
        <v>45600</v>
      </c>
      <c r="M41" s="23">
        <v>32400</v>
      </c>
      <c r="N41" s="36" t="e">
        <f t="shared" si="15"/>
        <v>#DIV/0!</v>
      </c>
      <c r="O41" s="23">
        <f t="shared" si="55"/>
        <v>32400</v>
      </c>
      <c r="P41" s="23">
        <v>0</v>
      </c>
      <c r="Q41" s="23">
        <v>28950</v>
      </c>
      <c r="R41" s="23">
        <v>28950</v>
      </c>
      <c r="S41" s="23">
        <v>600</v>
      </c>
      <c r="T41" s="23">
        <f>600+150</f>
        <v>750</v>
      </c>
      <c r="U41" s="23">
        <v>31050.000000000004</v>
      </c>
      <c r="V41" s="23">
        <f t="shared" si="56"/>
        <v>31800.000000000004</v>
      </c>
      <c r="W41" s="23">
        <f t="shared" si="30"/>
        <v>150</v>
      </c>
      <c r="X41" s="23">
        <f t="shared" si="57"/>
        <v>2850.0000000000036</v>
      </c>
      <c r="Y41" s="89">
        <v>0</v>
      </c>
      <c r="Z41" s="77">
        <f t="shared" si="58"/>
        <v>2850.0000000000036</v>
      </c>
      <c r="AA41" s="89">
        <v>0</v>
      </c>
      <c r="AB41" s="23">
        <f t="shared" si="59"/>
        <v>-599.99999999999636</v>
      </c>
      <c r="AC41" s="77">
        <f>V41/O41%</f>
        <v>98.148148148148152</v>
      </c>
      <c r="AD41" s="23">
        <f>Q41</f>
        <v>28950</v>
      </c>
    </row>
    <row r="42" spans="1:32" s="5" customFormat="1" ht="43.5" hidden="1" customHeight="1" x14ac:dyDescent="0.3">
      <c r="A42" s="4"/>
      <c r="B42" s="117" t="s">
        <v>12</v>
      </c>
      <c r="C42" s="117"/>
      <c r="D42" s="117"/>
      <c r="E42" s="117"/>
      <c r="F42" s="117"/>
      <c r="G42" s="117"/>
      <c r="H42" s="117"/>
      <c r="I42" s="117"/>
      <c r="J42" s="13">
        <v>911121.94</v>
      </c>
      <c r="K42" s="87">
        <v>1198973.8700000003</v>
      </c>
      <c r="L42" s="13">
        <f t="shared" si="54"/>
        <v>1198973.8700000003</v>
      </c>
      <c r="M42" s="87">
        <v>1073506.96</v>
      </c>
      <c r="N42" s="99">
        <f t="shared" si="15"/>
        <v>117.82253427022073</v>
      </c>
      <c r="O42" s="13">
        <f t="shared" si="55"/>
        <v>1073506.96</v>
      </c>
      <c r="P42" s="13">
        <v>0</v>
      </c>
      <c r="Q42" s="13">
        <v>184950.15</v>
      </c>
      <c r="R42" s="13">
        <v>184950.15</v>
      </c>
      <c r="S42" s="13">
        <v>279782.03999999998</v>
      </c>
      <c r="T42" s="13">
        <v>0</v>
      </c>
      <c r="U42" s="13">
        <v>3079882.64</v>
      </c>
      <c r="V42" s="13">
        <f t="shared" si="56"/>
        <v>3079882.64</v>
      </c>
      <c r="W42" s="13">
        <f t="shared" si="30"/>
        <v>-279782.03999999998</v>
      </c>
      <c r="X42" s="13">
        <f t="shared" si="57"/>
        <v>2894932.49</v>
      </c>
      <c r="Y42" s="89">
        <v>0</v>
      </c>
      <c r="Z42" s="33">
        <f t="shared" si="58"/>
        <v>2894932.49</v>
      </c>
      <c r="AA42" s="89">
        <v>0</v>
      </c>
      <c r="AB42" s="13">
        <f t="shared" si="59"/>
        <v>2006375.6800000002</v>
      </c>
      <c r="AC42" s="107">
        <f>V42/O42%</f>
        <v>286.8991776261982</v>
      </c>
      <c r="AD42" s="23">
        <f>V42</f>
        <v>3079882.64</v>
      </c>
    </row>
    <row r="43" spans="1:32" s="10" customFormat="1" ht="60" hidden="1" customHeight="1" x14ac:dyDescent="0.3">
      <c r="A43" s="9"/>
      <c r="B43" s="116" t="s">
        <v>11</v>
      </c>
      <c r="C43" s="116"/>
      <c r="D43" s="116"/>
      <c r="E43" s="116"/>
      <c r="F43" s="116"/>
      <c r="G43" s="116"/>
      <c r="H43" s="116"/>
      <c r="I43" s="116"/>
      <c r="J43" s="12">
        <f t="shared" ref="J43:K43" si="60">J44+J45</f>
        <v>7177391.2300000004</v>
      </c>
      <c r="K43" s="103">
        <f t="shared" si="60"/>
        <v>7372581.2300000004</v>
      </c>
      <c r="L43" s="12">
        <f t="shared" ref="L43:V43" si="61">L44+L45</f>
        <v>7372581.2300000004</v>
      </c>
      <c r="M43" s="103">
        <f t="shared" ref="M43" si="62">M44+M45</f>
        <v>6117759.3499999996</v>
      </c>
      <c r="N43" s="99">
        <f t="shared" si="15"/>
        <v>85.236531686179219</v>
      </c>
      <c r="O43" s="12">
        <f t="shared" si="61"/>
        <v>6117759.3499999996</v>
      </c>
      <c r="P43" s="12">
        <f t="shared" si="61"/>
        <v>250000</v>
      </c>
      <c r="Q43" s="12">
        <f t="shared" si="61"/>
        <v>250000</v>
      </c>
      <c r="R43" s="12">
        <f t="shared" ref="R43:S43" si="63">R44+R45</f>
        <v>250000</v>
      </c>
      <c r="S43" s="12">
        <f t="shared" si="63"/>
        <v>0</v>
      </c>
      <c r="T43" s="12">
        <f t="shared" si="61"/>
        <v>0</v>
      </c>
      <c r="U43" s="12">
        <v>1758976.4700000002</v>
      </c>
      <c r="V43" s="12">
        <f t="shared" si="61"/>
        <v>1758976.4700000002</v>
      </c>
      <c r="W43" s="12">
        <f t="shared" si="30"/>
        <v>0</v>
      </c>
      <c r="X43" s="12">
        <f t="shared" si="57"/>
        <v>1508976.4700000002</v>
      </c>
      <c r="Y43" s="35">
        <f>V43/Q43%</f>
        <v>703.59058800000003</v>
      </c>
      <c r="Z43" s="35">
        <f t="shared" si="58"/>
        <v>1508976.4700000002</v>
      </c>
      <c r="AA43" s="35">
        <f>V43/R43*100</f>
        <v>703.59058800000003</v>
      </c>
      <c r="AB43" s="12">
        <f t="shared" si="59"/>
        <v>-4358782.879999999</v>
      </c>
      <c r="AC43" s="35">
        <f>V43/O43%</f>
        <v>28.751972239640324</v>
      </c>
      <c r="AD43" s="103">
        <f t="shared" ref="AD43" si="64">AD44+AD45</f>
        <v>1758976.4700000002</v>
      </c>
    </row>
    <row r="44" spans="1:32" s="5" customFormat="1" ht="63" hidden="1" customHeight="1" x14ac:dyDescent="0.3">
      <c r="A44" s="4"/>
      <c r="B44" s="117" t="s">
        <v>33</v>
      </c>
      <c r="C44" s="117"/>
      <c r="D44" s="117"/>
      <c r="E44" s="117"/>
      <c r="F44" s="117"/>
      <c r="G44" s="117"/>
      <c r="H44" s="117"/>
      <c r="I44" s="117"/>
      <c r="J44" s="13">
        <v>0</v>
      </c>
      <c r="K44" s="87">
        <v>0</v>
      </c>
      <c r="L44" s="13">
        <f>K44</f>
        <v>0</v>
      </c>
      <c r="M44" s="87">
        <v>0</v>
      </c>
      <c r="N44" s="99" t="e">
        <f t="shared" si="15"/>
        <v>#DIV/0!</v>
      </c>
      <c r="O44" s="13">
        <f>M44</f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40700</v>
      </c>
      <c r="V44" s="13">
        <f>U44+T44</f>
        <v>40700</v>
      </c>
      <c r="W44" s="13">
        <f t="shared" si="30"/>
        <v>0</v>
      </c>
      <c r="X44" s="13">
        <f t="shared" si="57"/>
        <v>40700</v>
      </c>
      <c r="Y44" s="89">
        <v>0</v>
      </c>
      <c r="Z44" s="33">
        <f t="shared" si="58"/>
        <v>40700</v>
      </c>
      <c r="AA44" s="89">
        <v>0</v>
      </c>
      <c r="AB44" s="13">
        <f t="shared" si="59"/>
        <v>40700</v>
      </c>
      <c r="AC44" s="89">
        <v>0</v>
      </c>
      <c r="AD44" s="23">
        <f>V44</f>
        <v>40700</v>
      </c>
    </row>
    <row r="45" spans="1:32" s="5" customFormat="1" ht="65.25" hidden="1" customHeight="1" x14ac:dyDescent="0.3">
      <c r="A45" s="4"/>
      <c r="B45" s="117" t="s">
        <v>10</v>
      </c>
      <c r="C45" s="117"/>
      <c r="D45" s="117"/>
      <c r="E45" s="117"/>
      <c r="F45" s="117"/>
      <c r="G45" s="117"/>
      <c r="H45" s="117"/>
      <c r="I45" s="117"/>
      <c r="J45" s="13">
        <v>7177391.2300000004</v>
      </c>
      <c r="K45" s="87">
        <v>7372581.2300000004</v>
      </c>
      <c r="L45" s="13">
        <f>K45</f>
        <v>7372581.2300000004</v>
      </c>
      <c r="M45" s="87">
        <v>6117759.3499999996</v>
      </c>
      <c r="N45" s="99">
        <f t="shared" si="15"/>
        <v>85.236531686179219</v>
      </c>
      <c r="O45" s="13">
        <f>M45</f>
        <v>6117759.3499999996</v>
      </c>
      <c r="P45" s="13">
        <v>250000</v>
      </c>
      <c r="Q45" s="13">
        <v>250000</v>
      </c>
      <c r="R45" s="13">
        <v>250000</v>
      </c>
      <c r="S45" s="13">
        <v>0</v>
      </c>
      <c r="T45" s="13">
        <v>0</v>
      </c>
      <c r="U45" s="13">
        <v>1718276.4700000002</v>
      </c>
      <c r="V45" s="13">
        <f>U45+T45</f>
        <v>1718276.4700000002</v>
      </c>
      <c r="W45" s="13">
        <f t="shared" si="30"/>
        <v>0</v>
      </c>
      <c r="X45" s="13">
        <f t="shared" si="57"/>
        <v>1468276.4700000002</v>
      </c>
      <c r="Y45" s="33">
        <f>V45/Q45%</f>
        <v>687.31058800000005</v>
      </c>
      <c r="Z45" s="33">
        <f t="shared" si="58"/>
        <v>1468276.4700000002</v>
      </c>
      <c r="AA45" s="33">
        <f>V45/R45*100</f>
        <v>687.31058800000005</v>
      </c>
      <c r="AB45" s="13">
        <f t="shared" si="59"/>
        <v>-4399482.879999999</v>
      </c>
      <c r="AC45" s="33">
        <f t="shared" ref="AC45:AC57" si="65">V45/O45%</f>
        <v>28.086695989439342</v>
      </c>
      <c r="AD45" s="23">
        <f>V45</f>
        <v>1718276.4700000002</v>
      </c>
      <c r="AE45" s="65"/>
    </row>
    <row r="46" spans="1:32" s="10" customFormat="1" ht="39.75" hidden="1" customHeight="1" x14ac:dyDescent="0.3">
      <c r="A46" s="9"/>
      <c r="B46" s="116" t="s">
        <v>9</v>
      </c>
      <c r="C46" s="116"/>
      <c r="D46" s="116"/>
      <c r="E46" s="116"/>
      <c r="F46" s="116"/>
      <c r="G46" s="116"/>
      <c r="H46" s="116"/>
      <c r="I46" s="116"/>
      <c r="J46" s="12">
        <v>2044087.34</v>
      </c>
      <c r="K46" s="103">
        <v>2540917.84</v>
      </c>
      <c r="L46" s="12">
        <f>K46</f>
        <v>2540917.84</v>
      </c>
      <c r="M46" s="103">
        <v>2102196.73</v>
      </c>
      <c r="N46" s="99">
        <f t="shared" si="15"/>
        <v>102.84280367393694</v>
      </c>
      <c r="O46" s="12">
        <f>M46</f>
        <v>2102196.73</v>
      </c>
      <c r="P46" s="12">
        <v>1133520</v>
      </c>
      <c r="Q46" s="12">
        <v>1133520</v>
      </c>
      <c r="R46" s="12">
        <v>891493.58</v>
      </c>
      <c r="S46" s="12">
        <v>34031.18</v>
      </c>
      <c r="T46" s="12">
        <f>5500</f>
        <v>5500</v>
      </c>
      <c r="U46" s="12">
        <v>1629717.0600000003</v>
      </c>
      <c r="V46" s="12">
        <f>U46+T46</f>
        <v>1635217.0600000003</v>
      </c>
      <c r="W46" s="12">
        <f t="shared" si="30"/>
        <v>-28531.18</v>
      </c>
      <c r="X46" s="12">
        <f t="shared" si="57"/>
        <v>501697.06000000029</v>
      </c>
      <c r="Y46" s="35">
        <f>V46/Q46%</f>
        <v>144.26009774860611</v>
      </c>
      <c r="Z46" s="35">
        <f t="shared" si="58"/>
        <v>743723.48000000033</v>
      </c>
      <c r="AA46" s="35">
        <f>V46/R46*100</f>
        <v>183.42443475588465</v>
      </c>
      <c r="AB46" s="12">
        <f t="shared" si="59"/>
        <v>-466979.66999999969</v>
      </c>
      <c r="AC46" s="35">
        <f t="shared" si="65"/>
        <v>77.786109961268963</v>
      </c>
      <c r="AD46" s="26">
        <f>V46</f>
        <v>1635217.0600000003</v>
      </c>
    </row>
    <row r="47" spans="1:32" s="20" customFormat="1" ht="30" hidden="1" customHeight="1" x14ac:dyDescent="0.3">
      <c r="A47" s="17"/>
      <c r="B47" s="18"/>
      <c r="C47" s="18"/>
      <c r="D47" s="18"/>
      <c r="E47" s="18"/>
      <c r="F47" s="18"/>
      <c r="G47" s="18"/>
      <c r="H47" s="18"/>
      <c r="I47" s="19" t="s">
        <v>65</v>
      </c>
      <c r="J47" s="21">
        <v>248599.54</v>
      </c>
      <c r="K47" s="104">
        <v>312274.39</v>
      </c>
      <c r="L47" s="94">
        <f>K47</f>
        <v>312274.39</v>
      </c>
      <c r="M47" s="104">
        <v>465912.5</v>
      </c>
      <c r="N47" s="99">
        <f t="shared" si="15"/>
        <v>187.41486810474385</v>
      </c>
      <c r="O47" s="94">
        <f>M47</f>
        <v>465912.5</v>
      </c>
      <c r="P47" s="21">
        <v>247110</v>
      </c>
      <c r="Q47" s="21">
        <v>229824</v>
      </c>
      <c r="R47" s="21">
        <v>147973.57999999999</v>
      </c>
      <c r="S47" s="21">
        <v>3873.9</v>
      </c>
      <c r="T47" s="21">
        <f>3000</f>
        <v>3000</v>
      </c>
      <c r="U47" s="21">
        <v>138417.09</v>
      </c>
      <c r="V47" s="21">
        <f>U47+T47</f>
        <v>141417.09</v>
      </c>
      <c r="W47" s="15">
        <f t="shared" si="30"/>
        <v>-873.90000000000009</v>
      </c>
      <c r="X47" s="12">
        <f t="shared" si="57"/>
        <v>-88406.91</v>
      </c>
      <c r="Y47" s="33">
        <f>V47/Q47%</f>
        <v>61.532777255639104</v>
      </c>
      <c r="Z47" s="33">
        <f t="shared" si="58"/>
        <v>-6556.4899999999907</v>
      </c>
      <c r="AA47" s="33">
        <f>V47/R47*100</f>
        <v>95.569148222270499</v>
      </c>
      <c r="AB47" s="13">
        <f t="shared" si="59"/>
        <v>-324495.41000000003</v>
      </c>
      <c r="AC47" s="33">
        <f t="shared" si="65"/>
        <v>30.352714297212458</v>
      </c>
      <c r="AD47" s="23">
        <f>V47</f>
        <v>141417.09</v>
      </c>
      <c r="AF47" s="21"/>
    </row>
    <row r="48" spans="1:32" s="10" customFormat="1" ht="36.75" hidden="1" customHeight="1" x14ac:dyDescent="0.3">
      <c r="A48" s="9"/>
      <c r="B48" s="116" t="s">
        <v>7</v>
      </c>
      <c r="C48" s="116"/>
      <c r="D48" s="116"/>
      <c r="E48" s="116"/>
      <c r="F48" s="116"/>
      <c r="G48" s="116"/>
      <c r="H48" s="116"/>
      <c r="I48" s="116"/>
      <c r="J48" s="12">
        <f>J49+J50+J51</f>
        <v>3161118.92</v>
      </c>
      <c r="K48" s="103">
        <f>K49+K50+K51</f>
        <v>3318945.02</v>
      </c>
      <c r="L48" s="12">
        <f t="shared" ref="L48:T48" si="66">L49+L50+L51</f>
        <v>3318945.02</v>
      </c>
      <c r="M48" s="103">
        <f t="shared" si="66"/>
        <v>3244408.3699999996</v>
      </c>
      <c r="N48" s="99">
        <f t="shared" si="15"/>
        <v>102.6348091327105</v>
      </c>
      <c r="O48" s="12">
        <f t="shared" si="66"/>
        <v>3244408.3699999996</v>
      </c>
      <c r="P48" s="12">
        <f t="shared" ref="P48:Q48" si="67">P49+P51</f>
        <v>12754212.91</v>
      </c>
      <c r="Q48" s="12">
        <f t="shared" si="67"/>
        <v>13099012.91</v>
      </c>
      <c r="R48" s="12">
        <f>R49+R50+R51</f>
        <v>13099012.91</v>
      </c>
      <c r="S48" s="12">
        <f t="shared" ref="S48" si="68">S49+S50+S51</f>
        <v>2558782.84</v>
      </c>
      <c r="T48" s="12">
        <f t="shared" si="66"/>
        <v>2245.3200000000002</v>
      </c>
      <c r="U48" s="12">
        <v>9460664.9499999993</v>
      </c>
      <c r="V48" s="12">
        <f>V49+V50+V51</f>
        <v>9462910.2699999996</v>
      </c>
      <c r="W48" s="12">
        <f t="shared" si="30"/>
        <v>-2556537.52</v>
      </c>
      <c r="X48" s="12">
        <f t="shared" si="57"/>
        <v>-3636102.6400000006</v>
      </c>
      <c r="Y48" s="35">
        <f>V48/Q48%</f>
        <v>72.241399676580656</v>
      </c>
      <c r="Z48" s="35">
        <f t="shared" si="58"/>
        <v>-3636102.6400000006</v>
      </c>
      <c r="AA48" s="35">
        <f>V48/R48*100</f>
        <v>72.24139967658067</v>
      </c>
      <c r="AB48" s="12">
        <f t="shared" si="59"/>
        <v>6218501.9000000004</v>
      </c>
      <c r="AC48" s="35">
        <f t="shared" si="65"/>
        <v>291.66828558021507</v>
      </c>
      <c r="AD48" s="103">
        <f t="shared" ref="AD48" si="69">AD49+AD50+AD51</f>
        <v>13264520.27</v>
      </c>
    </row>
    <row r="49" spans="1:30" s="5" customFormat="1" ht="23.25" hidden="1" customHeight="1" x14ac:dyDescent="0.3">
      <c r="A49" s="4"/>
      <c r="B49" s="31"/>
      <c r="C49" s="31"/>
      <c r="D49" s="31"/>
      <c r="E49" s="31"/>
      <c r="F49" s="31"/>
      <c r="G49" s="31"/>
      <c r="H49" s="31"/>
      <c r="I49" s="31" t="s">
        <v>56</v>
      </c>
      <c r="J49" s="13">
        <v>0</v>
      </c>
      <c r="K49" s="87">
        <v>-729.14000000001556</v>
      </c>
      <c r="L49" s="13">
        <f>K49</f>
        <v>-729.14000000001556</v>
      </c>
      <c r="M49" s="87">
        <v>14675.43</v>
      </c>
      <c r="N49" s="99" t="e">
        <f t="shared" si="15"/>
        <v>#DIV/0!</v>
      </c>
      <c r="O49" s="13">
        <f>M49</f>
        <v>14675.43</v>
      </c>
      <c r="P49" s="13">
        <v>0</v>
      </c>
      <c r="Q49" s="13">
        <v>0</v>
      </c>
      <c r="R49" s="13">
        <v>0</v>
      </c>
      <c r="S49" s="87">
        <v>0</v>
      </c>
      <c r="T49" s="87">
        <f>792.86-792.86</f>
        <v>0</v>
      </c>
      <c r="U49" s="13">
        <v>-2.3646862246096134E-11</v>
      </c>
      <c r="V49" s="13">
        <f>U49+T49</f>
        <v>-2.3646862246096134E-11</v>
      </c>
      <c r="W49" s="15">
        <f t="shared" si="30"/>
        <v>0</v>
      </c>
      <c r="X49" s="13">
        <f t="shared" si="57"/>
        <v>-2.3646862246096134E-11</v>
      </c>
      <c r="Y49" s="89">
        <v>0</v>
      </c>
      <c r="Z49" s="33">
        <f t="shared" si="58"/>
        <v>-2.3646862246096134E-11</v>
      </c>
      <c r="AA49" s="89">
        <v>0</v>
      </c>
      <c r="AB49" s="13">
        <f t="shared" si="59"/>
        <v>-14675.430000000024</v>
      </c>
      <c r="AC49" s="33">
        <f t="shared" si="65"/>
        <v>-1.6113232965641302E-13</v>
      </c>
      <c r="AD49" s="23">
        <v>0</v>
      </c>
    </row>
    <row r="50" spans="1:30" s="5" customFormat="1" ht="39.75" hidden="1" customHeight="1" x14ac:dyDescent="0.3">
      <c r="A50" s="4"/>
      <c r="B50" s="31"/>
      <c r="C50" s="31"/>
      <c r="D50" s="31"/>
      <c r="E50" s="31"/>
      <c r="F50" s="31"/>
      <c r="G50" s="31"/>
      <c r="H50" s="31"/>
      <c r="I50" s="31" t="s">
        <v>68</v>
      </c>
      <c r="J50" s="13">
        <v>0</v>
      </c>
      <c r="K50" s="87">
        <v>157455.24000000002</v>
      </c>
      <c r="L50" s="13">
        <f>K50</f>
        <v>157455.24000000002</v>
      </c>
      <c r="M50" s="87">
        <v>123036.14</v>
      </c>
      <c r="N50" s="99" t="e">
        <f t="shared" si="15"/>
        <v>#DIV/0!</v>
      </c>
      <c r="O50" s="13">
        <f>M50</f>
        <v>123036.14</v>
      </c>
      <c r="P50" s="13">
        <v>0</v>
      </c>
      <c r="Q50" s="13">
        <v>0</v>
      </c>
      <c r="R50" s="13">
        <v>0</v>
      </c>
      <c r="S50" s="87">
        <v>8782.84</v>
      </c>
      <c r="T50" s="87">
        <f>1122.66+1122.66</f>
        <v>2245.3200000000002</v>
      </c>
      <c r="U50" s="13">
        <v>163262.04</v>
      </c>
      <c r="V50" s="13">
        <f>U50+T50</f>
        <v>165507.36000000002</v>
      </c>
      <c r="W50" s="15">
        <f t="shared" si="30"/>
        <v>-6537.52</v>
      </c>
      <c r="X50" s="13">
        <f t="shared" si="57"/>
        <v>165507.36000000002</v>
      </c>
      <c r="Y50" s="89">
        <v>0</v>
      </c>
      <c r="Z50" s="33">
        <f t="shared" si="58"/>
        <v>165507.36000000002</v>
      </c>
      <c r="AA50" s="89">
        <v>0</v>
      </c>
      <c r="AB50" s="13">
        <f t="shared" si="59"/>
        <v>42471.220000000016</v>
      </c>
      <c r="AC50" s="33">
        <f t="shared" si="65"/>
        <v>134.51930465308811</v>
      </c>
      <c r="AD50" s="23">
        <f>V50</f>
        <v>165507.36000000002</v>
      </c>
    </row>
    <row r="51" spans="1:30" s="5" customFormat="1" ht="28.5" hidden="1" customHeight="1" x14ac:dyDescent="0.3">
      <c r="A51" s="4"/>
      <c r="B51" s="31"/>
      <c r="C51" s="31"/>
      <c r="D51" s="31"/>
      <c r="E51" s="31"/>
      <c r="F51" s="31"/>
      <c r="G51" s="31"/>
      <c r="H51" s="31"/>
      <c r="I51" s="31" t="s">
        <v>41</v>
      </c>
      <c r="J51" s="13">
        <v>3161118.92</v>
      </c>
      <c r="K51" s="87">
        <v>3162218.92</v>
      </c>
      <c r="L51" s="13">
        <f>K51</f>
        <v>3162218.92</v>
      </c>
      <c r="M51" s="87">
        <v>3106696.8</v>
      </c>
      <c r="N51" s="99">
        <f t="shared" si="15"/>
        <v>98.278390614928199</v>
      </c>
      <c r="O51" s="13">
        <f>M51</f>
        <v>3106696.8</v>
      </c>
      <c r="P51" s="13">
        <v>12754212.91</v>
      </c>
      <c r="Q51" s="13">
        <v>13099012.91</v>
      </c>
      <c r="R51" s="13">
        <v>13099012.91</v>
      </c>
      <c r="S51" s="13">
        <v>2550000</v>
      </c>
      <c r="T51" s="13">
        <v>0</v>
      </c>
      <c r="U51" s="13">
        <v>9297402.9100000001</v>
      </c>
      <c r="V51" s="13">
        <f>U51+T51</f>
        <v>9297402.9100000001</v>
      </c>
      <c r="W51" s="15">
        <f t="shared" si="30"/>
        <v>-2550000</v>
      </c>
      <c r="X51" s="13">
        <f t="shared" si="57"/>
        <v>-3801610</v>
      </c>
      <c r="Y51" s="33">
        <f t="shared" ref="Y51:Y56" si="70">V51/Q51%</f>
        <v>70.977889508775206</v>
      </c>
      <c r="Z51" s="33">
        <f t="shared" si="58"/>
        <v>-3801610</v>
      </c>
      <c r="AA51" s="33">
        <f t="shared" ref="AA51:AA56" si="71">V51/R51*100</f>
        <v>70.977889508775206</v>
      </c>
      <c r="AB51" s="13">
        <f t="shared" si="59"/>
        <v>6190706.1100000003</v>
      </c>
      <c r="AC51" s="33">
        <f t="shared" si="65"/>
        <v>299.26972307049726</v>
      </c>
      <c r="AD51" s="23">
        <f>Q51</f>
        <v>13099012.91</v>
      </c>
    </row>
    <row r="52" spans="1:30" s="10" customFormat="1" ht="23.25" customHeight="1" x14ac:dyDescent="0.3">
      <c r="A52" s="9"/>
      <c r="B52" s="116" t="s">
        <v>1</v>
      </c>
      <c r="C52" s="116"/>
      <c r="D52" s="116"/>
      <c r="E52" s="116"/>
      <c r="F52" s="116"/>
      <c r="G52" s="116"/>
      <c r="H52" s="116"/>
      <c r="I52" s="116"/>
      <c r="J52" s="12">
        <f t="shared" ref="J52:K52" si="72">J53+J54+J55+J56+J57+J59+J60</f>
        <v>1791175348.0600002</v>
      </c>
      <c r="K52" s="103">
        <f t="shared" si="72"/>
        <v>1766716975.3699996</v>
      </c>
      <c r="L52" s="12">
        <f t="shared" ref="L52:T52" si="73">L53+L54+L55+L56+L57+L58+L59+L60</f>
        <v>1766716975.3699996</v>
      </c>
      <c r="M52" s="103">
        <f t="shared" si="73"/>
        <v>1210960476.3199999</v>
      </c>
      <c r="N52" s="99">
        <f t="shared" si="15"/>
        <v>67.607031194995855</v>
      </c>
      <c r="O52" s="12">
        <f t="shared" si="73"/>
        <v>1210960476.3199999</v>
      </c>
      <c r="P52" s="12">
        <f t="shared" ref="P52" si="74">P53+P54+P55+P56+P57+P59+P60</f>
        <v>2103304434.2900002</v>
      </c>
      <c r="Q52" s="12">
        <f>Q53+Q54+Q55+Q56+Q57+Q59+Q60</f>
        <v>2193720363.4200001</v>
      </c>
      <c r="R52" s="12">
        <f t="shared" ref="R52" si="75">R53+R54+R55+R56+R57+R59+R60</f>
        <v>1658106868.8</v>
      </c>
      <c r="S52" s="12">
        <f t="shared" ref="S52" si="76">S53+S54+S55+S56+S57+S58+S59+S60</f>
        <v>40182279.960000001</v>
      </c>
      <c r="T52" s="12">
        <f t="shared" si="73"/>
        <v>29745561.520000003</v>
      </c>
      <c r="U52" s="12">
        <v>1393372053.5899999</v>
      </c>
      <c r="V52" s="12">
        <f>V53+V54+V55+V56+V57+V58+V59+V60</f>
        <v>1423117615.1099999</v>
      </c>
      <c r="W52" s="12">
        <f t="shared" si="30"/>
        <v>-10436718.439999998</v>
      </c>
      <c r="X52" s="12">
        <f t="shared" si="57"/>
        <v>-770602748.31000018</v>
      </c>
      <c r="Y52" s="35">
        <f t="shared" si="70"/>
        <v>64.872334634819453</v>
      </c>
      <c r="Z52" s="35">
        <f t="shared" si="58"/>
        <v>-234989253.69000006</v>
      </c>
      <c r="AA52" s="35">
        <f t="shared" si="71"/>
        <v>85.827858378026875</v>
      </c>
      <c r="AB52" s="12">
        <f t="shared" si="59"/>
        <v>212157138.78999996</v>
      </c>
      <c r="AC52" s="35">
        <f t="shared" si="65"/>
        <v>117.51974097740386</v>
      </c>
      <c r="AD52" s="103">
        <f t="shared" ref="AD52" si="77">AD53+AD54+AD55+AD56+AD57+AD58+AD59+AD60</f>
        <v>2191479247.8899999</v>
      </c>
    </row>
    <row r="53" spans="1:30" s="10" customFormat="1" ht="38.25" customHeight="1" x14ac:dyDescent="0.3">
      <c r="A53" s="9"/>
      <c r="B53" s="116" t="s">
        <v>6</v>
      </c>
      <c r="C53" s="116"/>
      <c r="D53" s="116"/>
      <c r="E53" s="116"/>
      <c r="F53" s="116"/>
      <c r="G53" s="116"/>
      <c r="H53" s="116"/>
      <c r="I53" s="116"/>
      <c r="J53" s="12">
        <v>572641890</v>
      </c>
      <c r="K53" s="103">
        <v>572641890</v>
      </c>
      <c r="L53" s="12">
        <f>K53</f>
        <v>572641890</v>
      </c>
      <c r="M53" s="103">
        <v>410290430</v>
      </c>
      <c r="N53" s="99">
        <f t="shared" si="15"/>
        <v>71.648693042697232</v>
      </c>
      <c r="O53" s="12">
        <f t="shared" ref="O53:O60" si="78">M53</f>
        <v>410290430</v>
      </c>
      <c r="P53" s="12">
        <v>646456000</v>
      </c>
      <c r="Q53" s="12">
        <v>646456000</v>
      </c>
      <c r="R53" s="12">
        <v>484841997</v>
      </c>
      <c r="S53" s="12">
        <v>32612101</v>
      </c>
      <c r="T53" s="12">
        <v>0</v>
      </c>
      <c r="U53" s="12">
        <v>463582765</v>
      </c>
      <c r="V53" s="12">
        <f t="shared" ref="V53:V60" si="79">U53+T53</f>
        <v>463582765</v>
      </c>
      <c r="W53" s="12">
        <f t="shared" si="30"/>
        <v>-32612101</v>
      </c>
      <c r="X53" s="12">
        <f t="shared" si="57"/>
        <v>-182873235</v>
      </c>
      <c r="Y53" s="35">
        <f t="shared" si="70"/>
        <v>71.711418101154607</v>
      </c>
      <c r="Z53" s="35">
        <f t="shared" si="58"/>
        <v>-21259232</v>
      </c>
      <c r="AA53" s="35">
        <f t="shared" si="71"/>
        <v>95.615224726499918</v>
      </c>
      <c r="AB53" s="12">
        <f t="shared" si="59"/>
        <v>53292335</v>
      </c>
      <c r="AC53" s="35">
        <f t="shared" si="65"/>
        <v>112.98892957361936</v>
      </c>
      <c r="AD53" s="26">
        <f>Q53</f>
        <v>646456000</v>
      </c>
    </row>
    <row r="54" spans="1:30" s="10" customFormat="1" ht="43.5" customHeight="1" x14ac:dyDescent="0.3">
      <c r="A54" s="9"/>
      <c r="B54" s="116" t="s">
        <v>5</v>
      </c>
      <c r="C54" s="116"/>
      <c r="D54" s="116"/>
      <c r="E54" s="116"/>
      <c r="F54" s="116"/>
      <c r="G54" s="116"/>
      <c r="H54" s="116"/>
      <c r="I54" s="116"/>
      <c r="J54" s="12">
        <v>262500247.09999999</v>
      </c>
      <c r="K54" s="103">
        <v>246549546.16</v>
      </c>
      <c r="L54" s="12">
        <f>K54</f>
        <v>246549546.16</v>
      </c>
      <c r="M54" s="103">
        <v>176292451.5</v>
      </c>
      <c r="N54" s="99">
        <f t="shared" si="15"/>
        <v>67.158965923883883</v>
      </c>
      <c r="O54" s="12">
        <f t="shared" si="78"/>
        <v>176292451.5</v>
      </c>
      <c r="P54" s="12">
        <v>468221332.76999998</v>
      </c>
      <c r="Q54" s="12">
        <v>555836069.96000004</v>
      </c>
      <c r="R54" s="12">
        <v>504865741.22000003</v>
      </c>
      <c r="S54" s="12">
        <v>6798406.8700000001</v>
      </c>
      <c r="T54" s="12">
        <v>3019694.58</v>
      </c>
      <c r="U54" s="12">
        <v>309607634.67000002</v>
      </c>
      <c r="V54" s="12">
        <f t="shared" si="79"/>
        <v>312627329.25</v>
      </c>
      <c r="W54" s="12">
        <f t="shared" si="30"/>
        <v>-3778712.29</v>
      </c>
      <c r="X54" s="12">
        <f t="shared" si="57"/>
        <v>-243208740.71000004</v>
      </c>
      <c r="Y54" s="35">
        <f t="shared" si="70"/>
        <v>56.244519948570051</v>
      </c>
      <c r="Z54" s="35">
        <f t="shared" si="58"/>
        <v>-192238411.97000003</v>
      </c>
      <c r="AA54" s="35">
        <f t="shared" si="71"/>
        <v>61.92286458069843</v>
      </c>
      <c r="AB54" s="12">
        <f t="shared" si="59"/>
        <v>136334877.75</v>
      </c>
      <c r="AC54" s="35">
        <f t="shared" si="65"/>
        <v>177.33449537401211</v>
      </c>
      <c r="AD54" s="26">
        <f>Q54</f>
        <v>555836069.96000004</v>
      </c>
    </row>
    <row r="55" spans="1:30" s="10" customFormat="1" ht="45" customHeight="1" x14ac:dyDescent="0.3">
      <c r="A55" s="9"/>
      <c r="B55" s="116" t="s">
        <v>4</v>
      </c>
      <c r="C55" s="116"/>
      <c r="D55" s="116"/>
      <c r="E55" s="116"/>
      <c r="F55" s="116"/>
      <c r="G55" s="116"/>
      <c r="H55" s="116"/>
      <c r="I55" s="116"/>
      <c r="J55" s="12">
        <v>955445624.27999997</v>
      </c>
      <c r="K55" s="103">
        <v>946956620.31999969</v>
      </c>
      <c r="L55" s="12">
        <f>K55</f>
        <v>946956620.31999969</v>
      </c>
      <c r="M55" s="103">
        <v>627567686.54999995</v>
      </c>
      <c r="N55" s="99">
        <f t="shared" si="15"/>
        <v>65.683244614042721</v>
      </c>
      <c r="O55" s="12">
        <f t="shared" si="78"/>
        <v>627567686.54999995</v>
      </c>
      <c r="P55" s="12">
        <v>986312523.07000005</v>
      </c>
      <c r="Q55" s="12">
        <v>985706097.38999999</v>
      </c>
      <c r="R55" s="12">
        <v>664799057.34000003</v>
      </c>
      <c r="S55" s="12">
        <v>607318.6</v>
      </c>
      <c r="T55" s="12">
        <v>26885866.940000001</v>
      </c>
      <c r="U55" s="12">
        <v>618684512.72000003</v>
      </c>
      <c r="V55" s="12">
        <f t="shared" si="79"/>
        <v>645570379.66000009</v>
      </c>
      <c r="W55" s="12">
        <f t="shared" si="30"/>
        <v>26278548.34</v>
      </c>
      <c r="X55" s="12">
        <f t="shared" si="57"/>
        <v>-340135717.7299999</v>
      </c>
      <c r="Y55" s="35">
        <f t="shared" si="70"/>
        <v>65.493191263539146</v>
      </c>
      <c r="Z55" s="35">
        <f t="shared" si="58"/>
        <v>-19228677.679999948</v>
      </c>
      <c r="AA55" s="35">
        <f t="shared" si="71"/>
        <v>97.107595525640804</v>
      </c>
      <c r="AB55" s="12">
        <f t="shared" si="59"/>
        <v>18002693.110000134</v>
      </c>
      <c r="AC55" s="35">
        <f t="shared" si="65"/>
        <v>102.86864564505677</v>
      </c>
      <c r="AD55" s="26">
        <f>Q55</f>
        <v>985706097.38999999</v>
      </c>
    </row>
    <row r="56" spans="1:30" s="10" customFormat="1" ht="27" customHeight="1" x14ac:dyDescent="0.3">
      <c r="A56" s="9"/>
      <c r="B56" s="116" t="s">
        <v>3</v>
      </c>
      <c r="C56" s="116"/>
      <c r="D56" s="116"/>
      <c r="E56" s="116"/>
      <c r="F56" s="116"/>
      <c r="G56" s="116"/>
      <c r="H56" s="116"/>
      <c r="I56" s="116"/>
      <c r="J56" s="12">
        <v>8403885.0299999993</v>
      </c>
      <c r="K56" s="103">
        <v>8372369.5300000012</v>
      </c>
      <c r="L56" s="12">
        <f>K56</f>
        <v>8372369.5300000012</v>
      </c>
      <c r="M56" s="103">
        <v>4529054.08</v>
      </c>
      <c r="N56" s="99">
        <f t="shared" si="15"/>
        <v>53.892385055629454</v>
      </c>
      <c r="O56" s="12">
        <f t="shared" si="78"/>
        <v>4529054.08</v>
      </c>
      <c r="P56" s="12">
        <v>2314578.4500000002</v>
      </c>
      <c r="Q56" s="12">
        <v>5960880.0599999996</v>
      </c>
      <c r="R56" s="12">
        <v>3838757.23</v>
      </c>
      <c r="S56" s="12">
        <v>164453.49</v>
      </c>
      <c r="T56" s="12">
        <v>0</v>
      </c>
      <c r="U56" s="12">
        <v>3816940.7199999997</v>
      </c>
      <c r="V56" s="12">
        <f t="shared" si="79"/>
        <v>3816940.7199999997</v>
      </c>
      <c r="W56" s="12">
        <f t="shared" si="30"/>
        <v>-164453.49</v>
      </c>
      <c r="X56" s="12">
        <f t="shared" si="57"/>
        <v>-2143939.34</v>
      </c>
      <c r="Y56" s="35">
        <f t="shared" si="70"/>
        <v>64.03317432292036</v>
      </c>
      <c r="Z56" s="35">
        <f t="shared" si="58"/>
        <v>-21816.510000000242</v>
      </c>
      <c r="AA56" s="35">
        <f t="shared" si="71"/>
        <v>99.43167778807414</v>
      </c>
      <c r="AB56" s="12">
        <f t="shared" si="59"/>
        <v>-712113.36000000034</v>
      </c>
      <c r="AC56" s="35">
        <f t="shared" si="65"/>
        <v>84.276775074410224</v>
      </c>
      <c r="AD56" s="26">
        <f>Q56</f>
        <v>5960880.0599999996</v>
      </c>
    </row>
    <row r="57" spans="1:30" s="10" customFormat="1" ht="39" customHeight="1" x14ac:dyDescent="0.3">
      <c r="A57" s="9"/>
      <c r="B57" s="116" t="s">
        <v>2</v>
      </c>
      <c r="C57" s="116"/>
      <c r="D57" s="116"/>
      <c r="E57" s="116"/>
      <c r="F57" s="116"/>
      <c r="G57" s="116"/>
      <c r="H57" s="116"/>
      <c r="I57" s="116"/>
      <c r="J57" s="12">
        <v>387267.5</v>
      </c>
      <c r="K57" s="103">
        <v>400115.20999999996</v>
      </c>
      <c r="L57" s="12">
        <f>K57</f>
        <v>400115.20999999996</v>
      </c>
      <c r="M57" s="103">
        <v>399915.21</v>
      </c>
      <c r="N57" s="99">
        <f t="shared" si="15"/>
        <v>103.26588469210559</v>
      </c>
      <c r="O57" s="12">
        <f t="shared" si="78"/>
        <v>399915.21</v>
      </c>
      <c r="P57" s="12">
        <v>0</v>
      </c>
      <c r="Q57" s="12">
        <v>0</v>
      </c>
      <c r="R57" s="12">
        <v>0</v>
      </c>
      <c r="S57" s="12">
        <v>0</v>
      </c>
      <c r="T57" s="12">
        <f>40000</f>
        <v>40000</v>
      </c>
      <c r="U57" s="12">
        <v>3438.37</v>
      </c>
      <c r="V57" s="12">
        <f t="shared" si="79"/>
        <v>43438.37</v>
      </c>
      <c r="W57" s="12">
        <f t="shared" si="30"/>
        <v>40000</v>
      </c>
      <c r="X57" s="12">
        <f t="shared" si="57"/>
        <v>43438.37</v>
      </c>
      <c r="Y57" s="88">
        <v>0</v>
      </c>
      <c r="Z57" s="35">
        <f t="shared" si="58"/>
        <v>43438.37</v>
      </c>
      <c r="AA57" s="88">
        <v>0</v>
      </c>
      <c r="AB57" s="12">
        <f t="shared" si="59"/>
        <v>-356476.84</v>
      </c>
      <c r="AC57" s="35">
        <f t="shared" si="65"/>
        <v>10.861894950182064</v>
      </c>
      <c r="AD57" s="26">
        <f>V57</f>
        <v>43438.37</v>
      </c>
    </row>
    <row r="58" spans="1:30" s="10" customFormat="1" ht="171" customHeight="1" x14ac:dyDescent="0.3">
      <c r="A58" s="9"/>
      <c r="B58" s="45"/>
      <c r="C58" s="45"/>
      <c r="D58" s="45"/>
      <c r="E58" s="45"/>
      <c r="F58" s="45"/>
      <c r="G58" s="45"/>
      <c r="H58" s="45"/>
      <c r="I58" s="46" t="s">
        <v>48</v>
      </c>
      <c r="J58" s="12">
        <v>0</v>
      </c>
      <c r="K58" s="103">
        <v>0</v>
      </c>
      <c r="L58" s="12">
        <v>0</v>
      </c>
      <c r="M58" s="103">
        <v>0</v>
      </c>
      <c r="N58" s="99" t="e">
        <f t="shared" si="15"/>
        <v>#DIV/0!</v>
      </c>
      <c r="O58" s="12">
        <f t="shared" si="78"/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f t="shared" si="79"/>
        <v>0</v>
      </c>
      <c r="W58" s="12">
        <f t="shared" si="30"/>
        <v>0</v>
      </c>
      <c r="X58" s="12">
        <f t="shared" si="57"/>
        <v>0</v>
      </c>
      <c r="Y58" s="88">
        <v>0</v>
      </c>
      <c r="Z58" s="35">
        <f t="shared" si="58"/>
        <v>0</v>
      </c>
      <c r="AA58" s="35">
        <v>0</v>
      </c>
      <c r="AB58" s="12">
        <f t="shared" si="59"/>
        <v>0</v>
      </c>
      <c r="AC58" s="88">
        <v>0</v>
      </c>
      <c r="AD58" s="26"/>
    </row>
    <row r="59" spans="1:30" s="10" customFormat="1" ht="120" customHeight="1" x14ac:dyDescent="0.3">
      <c r="A59" s="9"/>
      <c r="B59" s="45"/>
      <c r="C59" s="45"/>
      <c r="D59" s="45"/>
      <c r="E59" s="45"/>
      <c r="F59" s="45"/>
      <c r="G59" s="45"/>
      <c r="H59" s="45"/>
      <c r="I59" s="45" t="s">
        <v>37</v>
      </c>
      <c r="J59" s="12">
        <v>0</v>
      </c>
      <c r="K59" s="103">
        <v>0</v>
      </c>
      <c r="L59" s="12">
        <f>K59</f>
        <v>0</v>
      </c>
      <c r="M59" s="103">
        <v>0</v>
      </c>
      <c r="N59" s="99" t="e">
        <f t="shared" si="15"/>
        <v>#DIV/0!</v>
      </c>
      <c r="O59" s="12">
        <f t="shared" si="78"/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f t="shared" si="79"/>
        <v>0</v>
      </c>
      <c r="W59" s="12">
        <f t="shared" si="30"/>
        <v>0</v>
      </c>
      <c r="X59" s="12">
        <f t="shared" si="57"/>
        <v>0</v>
      </c>
      <c r="Y59" s="88">
        <v>0</v>
      </c>
      <c r="Z59" s="35">
        <f t="shared" si="58"/>
        <v>0</v>
      </c>
      <c r="AA59" s="35">
        <v>0</v>
      </c>
      <c r="AB59" s="12">
        <f t="shared" si="59"/>
        <v>0</v>
      </c>
      <c r="AC59" s="88">
        <v>0</v>
      </c>
      <c r="AD59" s="26">
        <f>V59</f>
        <v>0</v>
      </c>
    </row>
    <row r="60" spans="1:30" s="10" customFormat="1" ht="78.75" customHeight="1" x14ac:dyDescent="0.3">
      <c r="A60" s="9"/>
      <c r="B60" s="116" t="s">
        <v>0</v>
      </c>
      <c r="C60" s="116"/>
      <c r="D60" s="116"/>
      <c r="E60" s="116"/>
      <c r="F60" s="116"/>
      <c r="G60" s="116"/>
      <c r="H60" s="116"/>
      <c r="I60" s="116"/>
      <c r="J60" s="12">
        <v>-8203565.8499999996</v>
      </c>
      <c r="K60" s="103">
        <v>-8203565.8500000015</v>
      </c>
      <c r="L60" s="12">
        <f>K60</f>
        <v>-8203565.8500000015</v>
      </c>
      <c r="M60" s="103">
        <v>-8119061.0199999996</v>
      </c>
      <c r="N60" s="99">
        <f t="shared" si="15"/>
        <v>98.969901241177951</v>
      </c>
      <c r="O60" s="12">
        <f t="shared" si="78"/>
        <v>-8119061.0199999996</v>
      </c>
      <c r="P60" s="12">
        <v>0</v>
      </c>
      <c r="Q60" s="12">
        <v>-238683.99</v>
      </c>
      <c r="R60" s="12">
        <v>-238683.99</v>
      </c>
      <c r="S60" s="12">
        <v>0</v>
      </c>
      <c r="T60" s="12">
        <v>-200000</v>
      </c>
      <c r="U60" s="12">
        <v>-2323237.89</v>
      </c>
      <c r="V60" s="12">
        <f t="shared" si="79"/>
        <v>-2523237.89</v>
      </c>
      <c r="W60" s="12">
        <f t="shared" si="30"/>
        <v>-200000</v>
      </c>
      <c r="X60" s="12">
        <f t="shared" si="57"/>
        <v>-2284553.9000000004</v>
      </c>
      <c r="Y60" s="88">
        <v>0</v>
      </c>
      <c r="Z60" s="35">
        <f t="shared" si="58"/>
        <v>-2284553.9000000004</v>
      </c>
      <c r="AA60" s="12">
        <v>0</v>
      </c>
      <c r="AB60" s="12">
        <f t="shared" si="59"/>
        <v>5595823.129999999</v>
      </c>
      <c r="AC60" s="35">
        <f>V60/O60%</f>
        <v>31.077952041306375</v>
      </c>
      <c r="AD60" s="26">
        <f>V60</f>
        <v>-2523237.89</v>
      </c>
    </row>
    <row r="61" spans="1:30" s="5" customFormat="1" ht="18.75" x14ac:dyDescent="0.3">
      <c r="A61" s="4"/>
      <c r="B61" s="8"/>
      <c r="C61" s="8"/>
      <c r="D61" s="8"/>
      <c r="E61" s="8"/>
      <c r="F61" s="8"/>
      <c r="G61" s="8"/>
      <c r="H61" s="8"/>
      <c r="I61" s="8"/>
      <c r="J61" s="103">
        <f>J52+J7</f>
        <v>2457763960.0100002</v>
      </c>
      <c r="K61" s="103">
        <f>K52+K7</f>
        <v>2495429043.5799999</v>
      </c>
      <c r="L61" s="12">
        <f>L52+L7</f>
        <v>2489776650.0538154</v>
      </c>
      <c r="M61" s="103">
        <f>M52+M7</f>
        <v>1659619890.0999999</v>
      </c>
      <c r="N61" s="100">
        <f t="shared" si="15"/>
        <v>67.52560120107087</v>
      </c>
      <c r="O61" s="12">
        <f t="shared" ref="O61:V61" si="80">O52+O7</f>
        <v>1653158029.874342</v>
      </c>
      <c r="P61" s="12">
        <f t="shared" si="80"/>
        <v>2893775182.4200001</v>
      </c>
      <c r="Q61" s="12">
        <f t="shared" si="80"/>
        <v>2984880771.71</v>
      </c>
      <c r="R61" s="92">
        <f t="shared" si="80"/>
        <v>2211701387.5799999</v>
      </c>
      <c r="S61" s="12">
        <f t="shared" ref="S61" si="81">S52+S7</f>
        <v>52215487.019999996</v>
      </c>
      <c r="T61" s="12">
        <f t="shared" si="80"/>
        <v>39519778.680000007</v>
      </c>
      <c r="U61" s="12">
        <f t="shared" si="80"/>
        <v>1857286098.28</v>
      </c>
      <c r="V61" s="12">
        <f t="shared" si="80"/>
        <v>1896805876.96</v>
      </c>
      <c r="W61" s="12">
        <f t="shared" si="30"/>
        <v>-12695708.339999989</v>
      </c>
      <c r="X61" s="12">
        <f t="shared" si="57"/>
        <v>-1088074894.75</v>
      </c>
      <c r="Y61" s="12">
        <f>V61/Q61%</f>
        <v>63.547123722243157</v>
      </c>
      <c r="Z61" s="12">
        <f t="shared" si="58"/>
        <v>-314895510.61999989</v>
      </c>
      <c r="AA61" s="12">
        <f>V61/R61*100</f>
        <v>85.762295380907986</v>
      </c>
      <c r="AB61" s="12">
        <f t="shared" si="59"/>
        <v>243647847.08565807</v>
      </c>
      <c r="AC61" s="12">
        <f>V61/O61%</f>
        <v>114.73832765426413</v>
      </c>
      <c r="AD61" s="103" t="e">
        <f>AD52+AD7</f>
        <v>#REF!</v>
      </c>
    </row>
    <row r="62" spans="1:30" s="20" customFormat="1" ht="18.75" x14ac:dyDescent="0.3">
      <c r="A62" s="17"/>
      <c r="B62" s="17"/>
      <c r="C62" s="17"/>
      <c r="D62" s="17"/>
      <c r="E62" s="17"/>
      <c r="F62" s="17"/>
      <c r="G62" s="17"/>
      <c r="H62" s="17"/>
      <c r="I62" s="17"/>
      <c r="J62" s="112"/>
      <c r="K62" s="112"/>
      <c r="L62" s="112"/>
      <c r="M62" s="112"/>
      <c r="N62" s="112"/>
      <c r="O62" s="112"/>
      <c r="P62" s="112"/>
      <c r="Q62" s="112"/>
      <c r="R62" s="113"/>
      <c r="S62" s="112"/>
      <c r="T62" s="112"/>
      <c r="U62" s="112"/>
      <c r="V62" s="112"/>
      <c r="W62" s="112"/>
      <c r="X62" s="112"/>
      <c r="Y62" s="112"/>
      <c r="Z62" s="112"/>
      <c r="AA62" s="112"/>
      <c r="AB62" s="112"/>
      <c r="AC62" s="112"/>
      <c r="AD62" s="112"/>
    </row>
    <row r="63" spans="1:30" s="20" customFormat="1" ht="18.75" hidden="1" x14ac:dyDescent="0.3">
      <c r="A63" s="17"/>
      <c r="B63" s="17"/>
      <c r="C63" s="17"/>
      <c r="D63" s="17"/>
      <c r="E63" s="17"/>
      <c r="F63" s="17"/>
      <c r="G63" s="17"/>
      <c r="H63" s="17"/>
      <c r="I63" s="17" t="s">
        <v>84</v>
      </c>
      <c r="J63" s="112"/>
      <c r="K63" s="112"/>
      <c r="L63" s="112"/>
      <c r="M63" s="112"/>
      <c r="N63" s="112"/>
      <c r="O63" s="112"/>
      <c r="P63" s="112"/>
      <c r="Q63" s="112"/>
      <c r="R63" s="113"/>
      <c r="S63" s="112"/>
      <c r="T63" s="112"/>
      <c r="U63" s="112"/>
      <c r="V63" s="112"/>
      <c r="W63" s="112"/>
      <c r="X63" s="112"/>
      <c r="Y63" s="112"/>
      <c r="Z63" s="112"/>
      <c r="AA63" s="112"/>
      <c r="AB63" s="112"/>
      <c r="AC63" s="112"/>
      <c r="AD63" s="112"/>
    </row>
    <row r="64" spans="1:30" s="20" customFormat="1" ht="55.5" hidden="1" customHeight="1" x14ac:dyDescent="0.3">
      <c r="A64" s="17"/>
      <c r="B64" s="17"/>
      <c r="C64" s="17"/>
      <c r="D64" s="17"/>
      <c r="E64" s="17"/>
      <c r="F64" s="17"/>
      <c r="G64" s="17"/>
      <c r="H64" s="17"/>
      <c r="I64" s="114" t="s">
        <v>85</v>
      </c>
      <c r="J64" s="112"/>
      <c r="K64" s="112"/>
      <c r="L64" s="112"/>
      <c r="M64" s="115"/>
      <c r="N64" s="112"/>
      <c r="O64" s="115" t="s">
        <v>86</v>
      </c>
      <c r="P64" s="112"/>
      <c r="Q64" s="112"/>
      <c r="R64" s="113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</row>
    <row r="65" spans="1:29" s="59" customFormat="1" ht="18" customHeight="1" x14ac:dyDescent="0.3">
      <c r="A65" s="57"/>
      <c r="B65" s="57"/>
      <c r="C65" s="57"/>
      <c r="D65" s="57"/>
      <c r="E65" s="57"/>
      <c r="F65" s="57"/>
      <c r="G65" s="57"/>
      <c r="H65" s="57"/>
      <c r="I65" s="59" t="s">
        <v>42</v>
      </c>
      <c r="J65" s="66"/>
      <c r="K65" s="66"/>
      <c r="L65" s="66"/>
      <c r="M65" s="66"/>
      <c r="N65" s="66"/>
      <c r="O65" s="71" t="s">
        <v>54</v>
      </c>
      <c r="P65" s="71">
        <v>2125335858.95</v>
      </c>
      <c r="Q65" s="71"/>
      <c r="R65" s="72">
        <v>1276217451.79</v>
      </c>
      <c r="S65" s="71"/>
      <c r="T65" s="82"/>
      <c r="U65" s="83">
        <v>1091597698.1400001</v>
      </c>
      <c r="V65" s="84">
        <v>1169360721.9000001</v>
      </c>
      <c r="W65" s="71"/>
      <c r="X65" s="71"/>
      <c r="Y65" s="71"/>
      <c r="Z65" s="75"/>
      <c r="AA65" s="75"/>
      <c r="AB65" s="66"/>
      <c r="AC65" s="69"/>
    </row>
    <row r="66" spans="1:29" s="59" customFormat="1" ht="18.75" customHeight="1" x14ac:dyDescent="0.3">
      <c r="I66" s="59" t="s">
        <v>67</v>
      </c>
      <c r="J66" s="67"/>
      <c r="K66" s="67"/>
      <c r="L66" s="72">
        <f>L61-K67</f>
        <v>0</v>
      </c>
      <c r="M66" s="72">
        <f>M61-M10+O10</f>
        <v>1656112951.2143421</v>
      </c>
      <c r="N66" s="72"/>
      <c r="O66" s="72" t="s">
        <v>66</v>
      </c>
      <c r="P66" s="72"/>
      <c r="Q66" s="67" t="s">
        <v>36</v>
      </c>
      <c r="R66" s="72">
        <v>1581194711.4100001</v>
      </c>
      <c r="S66" s="67"/>
      <c r="T66" s="85"/>
      <c r="U66" s="85"/>
      <c r="V66" s="83">
        <v>1229277981.27</v>
      </c>
      <c r="W66" s="73"/>
      <c r="X66" s="68"/>
      <c r="Y66" s="118"/>
      <c r="Z66" s="118"/>
      <c r="AA66" s="118"/>
      <c r="AB66" s="118"/>
    </row>
    <row r="67" spans="1:29" s="59" customFormat="1" ht="18" customHeight="1" x14ac:dyDescent="0.3">
      <c r="K67" s="91">
        <f>K61-K10+L10-K13+L13</f>
        <v>2489776650.0538158</v>
      </c>
      <c r="M67" s="91">
        <f>M61-M10+O10-M13+O13-M11+O11-M14+O14-M34+O34-M39+O39</f>
        <v>1653158029.874342</v>
      </c>
      <c r="N67" s="67"/>
      <c r="O67" s="67"/>
      <c r="Q67" s="67"/>
      <c r="R67" s="72">
        <f>S67</f>
        <v>56749746.579999998</v>
      </c>
      <c r="S67" s="72">
        <v>56749746.579999998</v>
      </c>
      <c r="T67" s="67"/>
      <c r="U67" s="90">
        <v>1857286098.28</v>
      </c>
    </row>
    <row r="68" spans="1:29" s="59" customFormat="1" ht="18" customHeight="1" x14ac:dyDescent="0.3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70"/>
      <c r="W68" s="57"/>
      <c r="X68" s="57"/>
      <c r="Y68" s="57"/>
      <c r="Z68" s="69"/>
      <c r="AA68" s="69"/>
      <c r="AB68" s="57"/>
      <c r="AC68" s="57"/>
    </row>
    <row r="69" spans="1:29" s="5" customFormat="1" ht="18.75" hidden="1" x14ac:dyDescent="0.3">
      <c r="I69" s="5" t="s">
        <v>42</v>
      </c>
      <c r="J69" s="16"/>
      <c r="K69" s="16"/>
      <c r="L69" s="16"/>
      <c r="M69" s="16"/>
      <c r="N69" s="16"/>
      <c r="O69" s="16"/>
      <c r="P69" s="16"/>
      <c r="Q69" s="16"/>
      <c r="R69" s="16"/>
    </row>
    <row r="70" spans="1:29" s="5" customFormat="1" ht="18.75" hidden="1" x14ac:dyDescent="0.3">
      <c r="I70" s="5" t="s">
        <v>38</v>
      </c>
    </row>
    <row r="71" spans="1:29" s="5" customFormat="1" ht="18.75" x14ac:dyDescent="0.3">
      <c r="M71" s="16"/>
      <c r="N71" s="16"/>
    </row>
    <row r="72" spans="1:29" x14ac:dyDescent="0.2">
      <c r="T72" s="14"/>
    </row>
  </sheetData>
  <autoFilter ref="A6:IA6"/>
  <mergeCells count="46">
    <mergeCell ref="I1:X2"/>
    <mergeCell ref="I4:I5"/>
    <mergeCell ref="S4:T4"/>
    <mergeCell ref="U4:U5"/>
    <mergeCell ref="J4:J5"/>
    <mergeCell ref="K4:K5"/>
    <mergeCell ref="N4:N5"/>
    <mergeCell ref="O4:O5"/>
    <mergeCell ref="P4:P5"/>
    <mergeCell ref="L4:L5"/>
    <mergeCell ref="M4:M5"/>
    <mergeCell ref="Q4:R5"/>
    <mergeCell ref="B22:I22"/>
    <mergeCell ref="AB4:AC4"/>
    <mergeCell ref="B15:I15"/>
    <mergeCell ref="B16:I16"/>
    <mergeCell ref="B17:I17"/>
    <mergeCell ref="B18:I18"/>
    <mergeCell ref="B21:I21"/>
    <mergeCell ref="W4:W5"/>
    <mergeCell ref="X4:Y4"/>
    <mergeCell ref="Z4:AA4"/>
    <mergeCell ref="B7:I7"/>
    <mergeCell ref="B10:I10"/>
    <mergeCell ref="B11:I11"/>
    <mergeCell ref="B14:I14"/>
    <mergeCell ref="V4:V5"/>
    <mergeCell ref="B12:I12"/>
    <mergeCell ref="Y66:AB66"/>
    <mergeCell ref="B53:I53"/>
    <mergeCell ref="B54:I54"/>
    <mergeCell ref="B55:I55"/>
    <mergeCell ref="B56:I56"/>
    <mergeCell ref="B57:I57"/>
    <mergeCell ref="B60:I60"/>
    <mergeCell ref="B52:I52"/>
    <mergeCell ref="B24:I24"/>
    <mergeCell ref="B34:I34"/>
    <mergeCell ref="B35:I35"/>
    <mergeCell ref="B36:I36"/>
    <mergeCell ref="B42:I42"/>
    <mergeCell ref="B43:I43"/>
    <mergeCell ref="B44:I44"/>
    <mergeCell ref="B45:I45"/>
    <mergeCell ref="B46:I46"/>
    <mergeCell ref="B48:I48"/>
  </mergeCells>
  <pageMargins left="0.39370078740157483" right="0.39370078740157483" top="0.78740157480314965" bottom="0.39370078740157483" header="0.39370078740157483" footer="0.39370078740157483"/>
  <pageSetup paperSize="9" scale="56" fitToHeight="0" orientation="landscape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Доходы</vt:lpstr>
      <vt:lpstr>Доходы!Заголовки_для_печати</vt:lpstr>
      <vt:lpstr>Доходы!Область_печати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BLPOOV1</dc:creator>
  <cp:lastModifiedBy>BLANIP1</cp:lastModifiedBy>
  <cp:lastPrinted>2026-09-11T11:56:54Z</cp:lastPrinted>
  <dcterms:created xsi:type="dcterms:W3CDTF">2018-12-30T09:36:16Z</dcterms:created>
  <dcterms:modified xsi:type="dcterms:W3CDTF">2026-09-11T11:58:17Z</dcterms:modified>
</cp:coreProperties>
</file>